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5600" windowHeight="9975" tabRatio="819" firstSheet="10" activeTab="27"/>
  </bookViews>
  <sheets>
    <sheet name="1" sheetId="3" r:id="rId1"/>
    <sheet name="2" sheetId="2" r:id="rId2"/>
    <sheet name="3" sheetId="5" r:id="rId3"/>
    <sheet name="4" sheetId="4" r:id="rId4"/>
    <sheet name="5" sheetId="6" r:id="rId5"/>
    <sheet name="6" sheetId="7" r:id="rId6"/>
    <sheet name="7" sheetId="8" r:id="rId7"/>
    <sheet name="8" sheetId="42" r:id="rId8"/>
    <sheet name="9" sheetId="10" r:id="rId9"/>
    <sheet name="10" sheetId="17" r:id="rId10"/>
    <sheet name="11" sheetId="11" r:id="rId11"/>
    <sheet name="12" sheetId="34" r:id="rId12"/>
    <sheet name="13" sheetId="14" r:id="rId13"/>
    <sheet name="14" sheetId="29" r:id="rId14"/>
    <sheet name="15" sheetId="33" r:id="rId15"/>
    <sheet name="16" sheetId="25" r:id="rId16"/>
    <sheet name="17" sheetId="26" r:id="rId17"/>
    <sheet name="18" sheetId="28" r:id="rId18"/>
    <sheet name="19" sheetId="27" r:id="rId19"/>
    <sheet name="20" sheetId="40" r:id="rId20"/>
    <sheet name="21" sheetId="30" r:id="rId21"/>
    <sheet name="22" sheetId="31" r:id="rId22"/>
    <sheet name="23" sheetId="32" r:id="rId23"/>
    <sheet name="24" sheetId="39" r:id="rId24"/>
    <sheet name="25" sheetId="12" r:id="rId25"/>
    <sheet name="26" sheetId="15" r:id="rId26"/>
    <sheet name="27" sheetId="23" r:id="rId27"/>
    <sheet name="28" sheetId="38" r:id="rId28"/>
    <sheet name="29" sheetId="24" r:id="rId29"/>
    <sheet name="30" sheetId="21" r:id="rId30"/>
    <sheet name="ورقة1" sheetId="41" r:id="rId31"/>
  </sheets>
  <definedNames>
    <definedName name="_xlnm.Print_Area" localSheetId="0">'1'!$A$1:$P$18</definedName>
    <definedName name="_xlnm.Print_Area" localSheetId="9">'10'!$A$1:$J$26</definedName>
    <definedName name="_xlnm.Print_Area" localSheetId="10">'11'!$A$1:$K$25</definedName>
    <definedName name="_xlnm.Print_Area" localSheetId="11">'12'!$A$1:$K$25</definedName>
    <definedName name="_xlnm.Print_Area" localSheetId="12">'13'!$A$1:$J$25</definedName>
    <definedName name="_xlnm.Print_Area" localSheetId="13">'14'!$A$1:$AD$25</definedName>
    <definedName name="_xlnm.Print_Area" localSheetId="14">'15'!$A$1:$S$25</definedName>
    <definedName name="_xlnm.Print_Area" localSheetId="15">'16'!$A$1:$U$26</definedName>
    <definedName name="_xlnm.Print_Area" localSheetId="16">'17'!$A$1:$G$25</definedName>
    <definedName name="_xlnm.Print_Area" localSheetId="17">'18'!$A$1:$L$26</definedName>
    <definedName name="_xlnm.Print_Area" localSheetId="18">'19'!$A$1:$H$26</definedName>
    <definedName name="_xlnm.Print_Area" localSheetId="1">'2'!$A$1:$E$20</definedName>
    <definedName name="_xlnm.Print_Area" localSheetId="19">'20'!$A$1:$Q$26</definedName>
    <definedName name="_xlnm.Print_Area" localSheetId="20">'21'!$A$1:$H$25</definedName>
    <definedName name="_xlnm.Print_Area" localSheetId="21">'22'!$A$1:$J$25</definedName>
    <definedName name="_xlnm.Print_Area" localSheetId="22">'23'!$A$1:$E$22</definedName>
    <definedName name="_xlnm.Print_Area" localSheetId="23">'24'!$A$1:$E$29</definedName>
    <definedName name="_xlnm.Print_Area" localSheetId="24">'25'!$A$1:$L$22</definedName>
    <definedName name="_xlnm.Print_Area" localSheetId="25">'26'!$A$1:$K$53</definedName>
    <definedName name="_xlnm.Print_Area" localSheetId="27">'28'!$A$1:$H$24</definedName>
    <definedName name="_xlnm.Print_Area" localSheetId="28">'29'!$A$1:$E$22</definedName>
    <definedName name="_xlnm.Print_Area" localSheetId="2">'3'!$A$1:$H$28</definedName>
    <definedName name="_xlnm.Print_Area" localSheetId="29">'30'!$A$1:$M$21</definedName>
    <definedName name="_xlnm.Print_Area" localSheetId="3">'4'!$A$1:$P$21</definedName>
    <definedName name="_xlnm.Print_Area" localSheetId="4">'5'!$A$1:$M$27</definedName>
    <definedName name="_xlnm.Print_Area" localSheetId="5">'6'!$A$1:$N$23</definedName>
    <definedName name="_xlnm.Print_Area" localSheetId="6">'7'!$A$1:$G$22</definedName>
    <definedName name="_xlnm.Print_Area" localSheetId="7">'8'!$A$1:$O$18</definedName>
    <definedName name="_xlnm.Print_Area" localSheetId="8">'9'!$A$1:$J$25</definedName>
  </definedNames>
  <calcPr calcId="144525"/>
  <fileRecoveryPr autoRecover="0"/>
</workbook>
</file>

<file path=xl/calcChain.xml><?xml version="1.0" encoding="utf-8"?>
<calcChain xmlns="http://schemas.openxmlformats.org/spreadsheetml/2006/main">
  <c r="B5" i="31" l="1"/>
  <c r="B6" i="31"/>
  <c r="B7" i="31"/>
  <c r="B8" i="31"/>
  <c r="B9" i="31"/>
  <c r="B10" i="31"/>
  <c r="B13" i="31"/>
  <c r="B14" i="31"/>
  <c r="B15" i="31"/>
  <c r="B16" i="31"/>
  <c r="B17" i="31"/>
  <c r="B19" i="31"/>
  <c r="B20" i="31"/>
  <c r="B21" i="31" l="1"/>
  <c r="G31" i="5"/>
  <c r="G30" i="5"/>
  <c r="E26" i="2"/>
  <c r="E25" i="2"/>
  <c r="E24" i="2"/>
  <c r="E4" i="39"/>
  <c r="I21" i="33" l="1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5" i="33"/>
  <c r="J21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B17" i="24" l="1"/>
  <c r="C17" i="24"/>
  <c r="D17" i="24"/>
  <c r="E17" i="24"/>
  <c r="C14" i="7" l="1"/>
  <c r="N6" i="7"/>
  <c r="N7" i="7"/>
  <c r="N8" i="7"/>
  <c r="N9" i="7"/>
  <c r="N10" i="7"/>
  <c r="N11" i="7"/>
  <c r="N12" i="7"/>
  <c r="N13" i="7"/>
  <c r="G5" i="5"/>
  <c r="C20" i="5"/>
  <c r="D20" i="5"/>
  <c r="G20" i="5" s="1"/>
  <c r="E20" i="5"/>
  <c r="F20" i="5"/>
  <c r="AE10" i="3" l="1"/>
  <c r="C11" i="3"/>
  <c r="D11" i="3"/>
  <c r="E11" i="3"/>
  <c r="F11" i="3"/>
  <c r="G11" i="3"/>
  <c r="H11" i="3"/>
  <c r="I11" i="3"/>
  <c r="J11" i="3"/>
  <c r="K11" i="3"/>
  <c r="L11" i="3"/>
  <c r="M11" i="3"/>
  <c r="N11" i="3"/>
  <c r="E14" i="38" l="1"/>
  <c r="F14" i="38"/>
  <c r="E11" i="38"/>
  <c r="F11" i="38"/>
  <c r="E7" i="38"/>
  <c r="F7" i="38"/>
  <c r="C14" i="38"/>
  <c r="D14" i="38"/>
  <c r="C11" i="38"/>
  <c r="D11" i="38"/>
  <c r="C7" i="38"/>
  <c r="D7" i="38"/>
  <c r="AC10" i="42"/>
  <c r="AD10" i="42" s="1"/>
  <c r="AE10" i="42" s="1"/>
  <c r="AF10" i="42" s="1"/>
  <c r="AC9" i="42"/>
  <c r="AD9" i="42" s="1"/>
  <c r="AE9" i="42" s="1"/>
  <c r="AF9" i="42" s="1"/>
  <c r="AC8" i="42"/>
  <c r="AD8" i="42" s="1"/>
  <c r="AE8" i="42" s="1"/>
  <c r="AF8" i="42" s="1"/>
  <c r="AC7" i="42"/>
  <c r="AD7" i="42" s="1"/>
  <c r="AE7" i="42" s="1"/>
  <c r="AF7" i="42" s="1"/>
  <c r="AC6" i="42"/>
  <c r="AD6" i="42" s="1"/>
  <c r="AE6" i="42" s="1"/>
  <c r="AF6" i="42" s="1"/>
  <c r="AC5" i="42"/>
  <c r="AD5" i="42" s="1"/>
  <c r="AE5" i="42" s="1"/>
  <c r="AF5" i="42" s="1"/>
  <c r="G15" i="8"/>
  <c r="G10" i="8"/>
  <c r="D15" i="8"/>
  <c r="D16" i="8" s="1"/>
  <c r="D10" i="8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AE5" i="4"/>
  <c r="AE6" i="4"/>
  <c r="AE7" i="4"/>
  <c r="AE8" i="4"/>
  <c r="AE9" i="4"/>
  <c r="AE10" i="4"/>
  <c r="AE11" i="4"/>
  <c r="AE12" i="4"/>
  <c r="AE13" i="4"/>
  <c r="AE14" i="4"/>
  <c r="D15" i="38" l="1"/>
  <c r="H14" i="2" l="1"/>
  <c r="I14" i="2" s="1"/>
  <c r="AC11" i="3"/>
  <c r="AB11" i="3"/>
  <c r="AA11" i="3"/>
  <c r="Z11" i="3"/>
  <c r="Y11" i="3"/>
  <c r="X11" i="3"/>
  <c r="W11" i="3"/>
  <c r="V11" i="3"/>
  <c r="U11" i="3"/>
  <c r="T11" i="3"/>
  <c r="S11" i="3"/>
  <c r="R11" i="3"/>
  <c r="R6" i="33" l="1"/>
  <c r="R7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5" i="33"/>
  <c r="D5" i="32" l="1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4" i="32"/>
  <c r="E15" i="31"/>
  <c r="J15" i="31"/>
  <c r="D15" i="31"/>
  <c r="C15" i="31"/>
  <c r="B21" i="30"/>
  <c r="C21" i="30"/>
  <c r="D21" i="30"/>
  <c r="F21" i="30"/>
  <c r="G21" i="30"/>
  <c r="H21" i="30"/>
  <c r="G15" i="30"/>
  <c r="H15" i="30"/>
  <c r="F15" i="30"/>
  <c r="L21" i="40"/>
  <c r="M21" i="40"/>
  <c r="C21" i="40"/>
  <c r="D21" i="40"/>
  <c r="E21" i="40"/>
  <c r="Q15" i="40"/>
  <c r="P15" i="40"/>
  <c r="O15" i="40"/>
  <c r="I15" i="40"/>
  <c r="H15" i="40"/>
  <c r="G15" i="40"/>
  <c r="F21" i="27"/>
  <c r="E21" i="27"/>
  <c r="C21" i="27"/>
  <c r="D21" i="27"/>
  <c r="B21" i="27"/>
  <c r="H15" i="27"/>
  <c r="G15" i="27"/>
  <c r="D15" i="27"/>
  <c r="C15" i="27"/>
  <c r="K21" i="28"/>
  <c r="J21" i="28"/>
  <c r="F6" i="28"/>
  <c r="B21" i="28"/>
  <c r="C21" i="28"/>
  <c r="D21" i="28"/>
  <c r="G21" i="28"/>
  <c r="G15" i="28"/>
  <c r="H15" i="28" s="1"/>
  <c r="L15" i="28" s="1"/>
  <c r="F15" i="28"/>
  <c r="D15" i="28"/>
  <c r="F20" i="26"/>
  <c r="G14" i="26"/>
  <c r="E14" i="26"/>
  <c r="C14" i="26"/>
  <c r="B14" i="26"/>
  <c r="U6" i="25"/>
  <c r="U7" i="25"/>
  <c r="U8" i="25"/>
  <c r="U9" i="25"/>
  <c r="U11" i="25"/>
  <c r="U13" i="25"/>
  <c r="U14" i="25"/>
  <c r="U15" i="25"/>
  <c r="U16" i="25"/>
  <c r="U17" i="25"/>
  <c r="U18" i="25"/>
  <c r="U19" i="25"/>
  <c r="U20" i="25"/>
  <c r="U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5" i="25"/>
  <c r="Q21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5" i="25"/>
  <c r="N21" i="25"/>
  <c r="O21" i="25" s="1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5" i="25"/>
  <c r="K21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5" i="25"/>
  <c r="H21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5" i="25"/>
  <c r="E21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5" i="25"/>
  <c r="B21" i="25"/>
  <c r="C21" i="25" s="1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5" i="33"/>
  <c r="B21" i="33"/>
  <c r="S21" i="33"/>
  <c r="T15" i="25"/>
  <c r="Q15" i="33"/>
  <c r="I21" i="14"/>
  <c r="N21" i="33"/>
  <c r="K21" i="33"/>
  <c r="L21" i="33" s="1"/>
  <c r="H21" i="33"/>
  <c r="E21" i="33"/>
  <c r="AD21" i="29"/>
  <c r="AD5" i="29"/>
  <c r="AD6" i="29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A21" i="29"/>
  <c r="AB21" i="29"/>
  <c r="AC21" i="29"/>
  <c r="AC20" i="29"/>
  <c r="AB20" i="29"/>
  <c r="AA20" i="29"/>
  <c r="AC19" i="29"/>
  <c r="AB19" i="29"/>
  <c r="AA19" i="29"/>
  <c r="AC18" i="29"/>
  <c r="AB18" i="29"/>
  <c r="AA18" i="29"/>
  <c r="AC17" i="29"/>
  <c r="AB17" i="29"/>
  <c r="AA17" i="29"/>
  <c r="AC16" i="29"/>
  <c r="AB16" i="29"/>
  <c r="AA16" i="29"/>
  <c r="AC15" i="29"/>
  <c r="AB15" i="29"/>
  <c r="AA15" i="29"/>
  <c r="AC14" i="29"/>
  <c r="AB14" i="29"/>
  <c r="AA14" i="29"/>
  <c r="AC13" i="29"/>
  <c r="AB13" i="29"/>
  <c r="AA13" i="29"/>
  <c r="AC12" i="29"/>
  <c r="AB12" i="29"/>
  <c r="AA12" i="29"/>
  <c r="AC11" i="29"/>
  <c r="AB11" i="29"/>
  <c r="AA11" i="29"/>
  <c r="AC10" i="29"/>
  <c r="AB10" i="29"/>
  <c r="AA10" i="29"/>
  <c r="AC9" i="29"/>
  <c r="AB9" i="29"/>
  <c r="AA9" i="29"/>
  <c r="AC8" i="29"/>
  <c r="AB8" i="29"/>
  <c r="AA8" i="29"/>
  <c r="AC7" i="29"/>
  <c r="AB7" i="29"/>
  <c r="AA7" i="29"/>
  <c r="AC6" i="29"/>
  <c r="AB6" i="29"/>
  <c r="AA6" i="29"/>
  <c r="AC5" i="29"/>
  <c r="AB5" i="29"/>
  <c r="AA5" i="29"/>
  <c r="V21" i="29"/>
  <c r="W21" i="29"/>
  <c r="X21" i="29"/>
  <c r="Y21" i="29"/>
  <c r="Y15" i="29"/>
  <c r="J21" i="14"/>
  <c r="D21" i="14"/>
  <c r="E21" i="14"/>
  <c r="F21" i="14"/>
  <c r="G21" i="14"/>
  <c r="H21" i="14"/>
  <c r="I15" i="14"/>
  <c r="J1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5" i="14"/>
  <c r="B21" i="14"/>
  <c r="Q21" i="29"/>
  <c r="R21" i="29"/>
  <c r="S21" i="29"/>
  <c r="T21" i="29"/>
  <c r="T15" i="29"/>
  <c r="K21" i="34"/>
  <c r="G21" i="34"/>
  <c r="H21" i="34"/>
  <c r="I21" i="34"/>
  <c r="J21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5" i="34"/>
  <c r="E21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5" i="34"/>
  <c r="B21" i="34"/>
  <c r="K15" i="34"/>
  <c r="B21" i="29"/>
  <c r="C21" i="29"/>
  <c r="D21" i="29"/>
  <c r="E21" i="29"/>
  <c r="F21" i="29"/>
  <c r="G21" i="29"/>
  <c r="H21" i="29"/>
  <c r="I21" i="29"/>
  <c r="J21" i="29"/>
  <c r="L21" i="29"/>
  <c r="M21" i="29"/>
  <c r="N21" i="29"/>
  <c r="O21" i="29"/>
  <c r="O15" i="29"/>
  <c r="K21" i="11"/>
  <c r="D21" i="11"/>
  <c r="E21" i="11"/>
  <c r="F21" i="11"/>
  <c r="G21" i="11"/>
  <c r="H21" i="11"/>
  <c r="I21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5" i="11"/>
  <c r="B21" i="11"/>
  <c r="K15" i="11"/>
  <c r="J15" i="29" l="1"/>
  <c r="J21" i="17"/>
  <c r="I21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D21" i="17"/>
  <c r="E21" i="17"/>
  <c r="F21" i="17"/>
  <c r="G21" i="17"/>
  <c r="H21" i="17"/>
  <c r="B21" i="17"/>
  <c r="J15" i="17"/>
  <c r="E15" i="29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  <c r="D21" i="10"/>
  <c r="E21" i="10"/>
  <c r="F21" i="10"/>
  <c r="J21" i="10" s="1"/>
  <c r="G21" i="10"/>
  <c r="H21" i="10"/>
  <c r="B21" i="10"/>
  <c r="J15" i="10"/>
  <c r="G63" i="15" l="1"/>
  <c r="J10" i="31" l="1"/>
  <c r="H10" i="30"/>
  <c r="G10" i="30"/>
  <c r="F10" i="30"/>
  <c r="Q10" i="40"/>
  <c r="P10" i="40"/>
  <c r="O10" i="40"/>
  <c r="I10" i="40"/>
  <c r="H10" i="40"/>
  <c r="G10" i="40"/>
  <c r="G10" i="27"/>
  <c r="G21" i="27" s="1"/>
  <c r="H21" i="27" s="1"/>
  <c r="C36" i="27"/>
  <c r="E36" i="27"/>
  <c r="D36" i="27"/>
  <c r="B10" i="27"/>
  <c r="H10" i="28"/>
  <c r="L10" i="28"/>
  <c r="G10" i="28"/>
  <c r="F10" i="28"/>
  <c r="D10" i="28"/>
  <c r="B9" i="26"/>
  <c r="T10" i="25"/>
  <c r="Y10" i="29"/>
  <c r="Q10" i="33"/>
  <c r="O10" i="29"/>
  <c r="J10" i="29"/>
  <c r="J10" i="17"/>
  <c r="E10" i="29"/>
  <c r="J10" i="10"/>
  <c r="H10" i="27" l="1"/>
  <c r="U10" i="25"/>
  <c r="C9" i="26"/>
  <c r="E6" i="31"/>
  <c r="D6" i="31"/>
  <c r="C6" i="31"/>
  <c r="J6" i="31"/>
  <c r="H6" i="30"/>
  <c r="G6" i="30"/>
  <c r="F6" i="30"/>
  <c r="Q6" i="40"/>
  <c r="P6" i="40"/>
  <c r="O6" i="40"/>
  <c r="I6" i="40"/>
  <c r="H6" i="40"/>
  <c r="G6" i="40"/>
  <c r="E6" i="40"/>
  <c r="H6" i="27"/>
  <c r="G6" i="27"/>
  <c r="H6" i="28"/>
  <c r="H21" i="28" s="1"/>
  <c r="L21" i="28" s="1"/>
  <c r="G6" i="28"/>
  <c r="D6" i="28"/>
  <c r="E6" i="27"/>
  <c r="D31" i="26"/>
  <c r="G5" i="26"/>
  <c r="E5" i="26"/>
  <c r="C5" i="26"/>
  <c r="B5" i="26"/>
  <c r="T6" i="25"/>
  <c r="Q6" i="33"/>
  <c r="Y6" i="29"/>
  <c r="J6" i="14"/>
  <c r="T6" i="29"/>
  <c r="K6" i="34"/>
  <c r="O6" i="29"/>
  <c r="K6" i="11"/>
  <c r="J6" i="29"/>
  <c r="J6" i="17"/>
  <c r="J6" i="10"/>
  <c r="E9" i="26" l="1"/>
  <c r="G9" i="26"/>
  <c r="C10" i="31"/>
  <c r="E10" i="31"/>
  <c r="D10" i="31"/>
  <c r="L6" i="28"/>
  <c r="E18" i="31"/>
  <c r="D18" i="31"/>
  <c r="C18" i="31"/>
  <c r="J18" i="31"/>
  <c r="H18" i="30"/>
  <c r="G18" i="30"/>
  <c r="F18" i="30"/>
  <c r="Q18" i="40"/>
  <c r="P18" i="40"/>
  <c r="O18" i="40"/>
  <c r="I18" i="40"/>
  <c r="H18" i="40"/>
  <c r="G18" i="40"/>
  <c r="H18" i="27"/>
  <c r="G18" i="27"/>
  <c r="E18" i="27"/>
  <c r="H18" i="28"/>
  <c r="L18" i="28"/>
  <c r="G18" i="28"/>
  <c r="D18" i="28"/>
  <c r="F18" i="28"/>
  <c r="E44" i="27"/>
  <c r="D44" i="27"/>
  <c r="C44" i="27"/>
  <c r="G17" i="26"/>
  <c r="E17" i="26"/>
  <c r="C17" i="26"/>
  <c r="T18" i="25"/>
  <c r="Q18" i="33"/>
  <c r="Y18" i="29"/>
  <c r="J18" i="14"/>
  <c r="I18" i="14"/>
  <c r="T18" i="29"/>
  <c r="O18" i="29"/>
  <c r="K18" i="11"/>
  <c r="J18" i="29"/>
  <c r="J18" i="17"/>
  <c r="E18" i="29"/>
  <c r="J18" i="10"/>
  <c r="B17" i="26" l="1"/>
  <c r="E12" i="31"/>
  <c r="J12" i="31"/>
  <c r="D12" i="31"/>
  <c r="C12" i="31"/>
  <c r="H12" i="30"/>
  <c r="G12" i="30"/>
  <c r="F12" i="30"/>
  <c r="Q12" i="40"/>
  <c r="P12" i="40"/>
  <c r="O12" i="40"/>
  <c r="I12" i="40"/>
  <c r="H12" i="40"/>
  <c r="G12" i="40"/>
  <c r="G12" i="27"/>
  <c r="H12" i="27"/>
  <c r="E38" i="27"/>
  <c r="D38" i="27"/>
  <c r="C38" i="27"/>
  <c r="L12" i="28"/>
  <c r="H12" i="28"/>
  <c r="G12" i="28"/>
  <c r="F12" i="28"/>
  <c r="D12" i="28"/>
  <c r="B11" i="26"/>
  <c r="T12" i="25"/>
  <c r="Q12" i="33"/>
  <c r="Y12" i="29"/>
  <c r="J12" i="14"/>
  <c r="I12" i="14"/>
  <c r="T12" i="29"/>
  <c r="O12" i="29"/>
  <c r="K12" i="11"/>
  <c r="J12" i="29"/>
  <c r="J12" i="17"/>
  <c r="E12" i="29"/>
  <c r="J12" i="10"/>
  <c r="U12" i="25" l="1"/>
  <c r="T21" i="25"/>
  <c r="U21" i="25" s="1"/>
  <c r="C11" i="26"/>
  <c r="C19" i="39"/>
  <c r="D19" i="39"/>
  <c r="E19" i="39" s="1"/>
  <c r="E5" i="39"/>
  <c r="E6" i="39"/>
  <c r="E8" i="39"/>
  <c r="E9" i="39"/>
  <c r="E10" i="39"/>
  <c r="E11" i="39"/>
  <c r="E13" i="39"/>
  <c r="E14" i="39"/>
  <c r="E15" i="39"/>
  <c r="E16" i="39"/>
  <c r="E18" i="39"/>
  <c r="C20" i="26" l="1"/>
  <c r="E11" i="26"/>
  <c r="E20" i="26" s="1"/>
  <c r="D20" i="26" s="1"/>
  <c r="E11" i="31"/>
  <c r="D11" i="31"/>
  <c r="C11" i="31"/>
  <c r="J11" i="31"/>
  <c r="H11" i="30"/>
  <c r="G11" i="30"/>
  <c r="F11" i="30"/>
  <c r="Q11" i="40"/>
  <c r="P11" i="40"/>
  <c r="O11" i="40"/>
  <c r="I11" i="40"/>
  <c r="H11" i="40"/>
  <c r="G11" i="40"/>
  <c r="H11" i="27"/>
  <c r="G11" i="27"/>
  <c r="E37" i="27"/>
  <c r="D37" i="27"/>
  <c r="C37" i="27"/>
  <c r="L11" i="28"/>
  <c r="G11" i="28"/>
  <c r="F11" i="28"/>
  <c r="D11" i="28"/>
  <c r="G10" i="26"/>
  <c r="E10" i="26"/>
  <c r="C10" i="26"/>
  <c r="B10" i="26"/>
  <c r="T11" i="25"/>
  <c r="Q11" i="33"/>
  <c r="Y11" i="29"/>
  <c r="J11" i="14"/>
  <c r="I11" i="14"/>
  <c r="T11" i="29"/>
  <c r="K11" i="34"/>
  <c r="O11" i="29"/>
  <c r="K11" i="11"/>
  <c r="J11" i="29"/>
  <c r="J11" i="17"/>
  <c r="E11" i="29"/>
  <c r="J11" i="10"/>
  <c r="G11" i="26" l="1"/>
  <c r="G20" i="26" s="1"/>
  <c r="E16" i="31"/>
  <c r="D16" i="31"/>
  <c r="J16" i="31"/>
  <c r="G16" i="30"/>
  <c r="F16" i="30"/>
  <c r="Q16" i="40"/>
  <c r="P16" i="40"/>
  <c r="O16" i="40"/>
  <c r="I16" i="40"/>
  <c r="H16" i="40"/>
  <c r="G16" i="40"/>
  <c r="H16" i="27"/>
  <c r="G16" i="27"/>
  <c r="E42" i="27"/>
  <c r="D42" i="27"/>
  <c r="C42" i="27"/>
  <c r="B16" i="27"/>
  <c r="L16" i="28"/>
  <c r="H16" i="28"/>
  <c r="G16" i="28"/>
  <c r="F16" i="28"/>
  <c r="D16" i="28"/>
  <c r="E15" i="26"/>
  <c r="C15" i="26"/>
  <c r="B15" i="26"/>
  <c r="T16" i="25"/>
  <c r="Q16" i="33"/>
  <c r="J16" i="14"/>
  <c r="I16" i="14"/>
  <c r="Y16" i="29"/>
  <c r="T16" i="29"/>
  <c r="K16" i="34"/>
  <c r="O16" i="29"/>
  <c r="K16" i="11"/>
  <c r="J16" i="29"/>
  <c r="J16" i="17"/>
  <c r="T14" i="25"/>
  <c r="C13" i="26" s="1"/>
  <c r="E13" i="26" s="1"/>
  <c r="E16" i="29"/>
  <c r="J16" i="10"/>
  <c r="J14" i="31"/>
  <c r="E14" i="31"/>
  <c r="H14" i="30"/>
  <c r="G14" i="30"/>
  <c r="F14" i="30"/>
  <c r="Q14" i="40"/>
  <c r="P14" i="40"/>
  <c r="O14" i="40"/>
  <c r="I14" i="40"/>
  <c r="H14" i="40"/>
  <c r="G14" i="40"/>
  <c r="H14" i="27"/>
  <c r="G14" i="27"/>
  <c r="E40" i="27"/>
  <c r="D40" i="27"/>
  <c r="C40" i="27"/>
  <c r="B13" i="26"/>
  <c r="B14" i="27"/>
  <c r="L14" i="28"/>
  <c r="H14" i="28"/>
  <c r="F14" i="28"/>
  <c r="D14" i="28"/>
  <c r="Q14" i="33"/>
  <c r="Y14" i="29"/>
  <c r="J14" i="14"/>
  <c r="I14" i="14"/>
  <c r="T14" i="29"/>
  <c r="K14" i="34"/>
  <c r="O14" i="29"/>
  <c r="K14" i="11"/>
  <c r="J14" i="29"/>
  <c r="J14" i="17"/>
  <c r="E14" i="29"/>
  <c r="J14" i="10"/>
  <c r="G13" i="26" l="1"/>
  <c r="C14" i="31"/>
  <c r="D14" i="31"/>
  <c r="E13" i="31"/>
  <c r="D13" i="31"/>
  <c r="C13" i="31"/>
  <c r="J13" i="31"/>
  <c r="G13" i="30"/>
  <c r="F13" i="30"/>
  <c r="H13" i="30" s="1"/>
  <c r="Q13" i="40"/>
  <c r="P13" i="40"/>
  <c r="O13" i="40"/>
  <c r="I13" i="40"/>
  <c r="H13" i="40"/>
  <c r="G13" i="40"/>
  <c r="H13" i="27"/>
  <c r="G13" i="27"/>
  <c r="E39" i="27"/>
  <c r="D39" i="27"/>
  <c r="C39" i="27"/>
  <c r="B13" i="27"/>
  <c r="L13" i="28"/>
  <c r="H13" i="28"/>
  <c r="G13" i="28"/>
  <c r="F13" i="28"/>
  <c r="D13" i="28"/>
  <c r="G12" i="26"/>
  <c r="E12" i="26"/>
  <c r="B12" i="26"/>
  <c r="C12" i="26"/>
  <c r="T13" i="25"/>
  <c r="Q13" i="33"/>
  <c r="Y13" i="29"/>
  <c r="J13" i="14"/>
  <c r="I13" i="14"/>
  <c r="T13" i="29"/>
  <c r="K13" i="34"/>
  <c r="O13" i="29"/>
  <c r="K13" i="11"/>
  <c r="J13" i="29"/>
  <c r="J13" i="17"/>
  <c r="E13" i="29"/>
  <c r="J13" i="10"/>
  <c r="E7" i="31"/>
  <c r="D7" i="31"/>
  <c r="C7" i="31"/>
  <c r="J7" i="31"/>
  <c r="H7" i="30"/>
  <c r="G7" i="30"/>
  <c r="F7" i="30"/>
  <c r="Q7" i="40"/>
  <c r="P7" i="40"/>
  <c r="O7" i="40"/>
  <c r="I7" i="40"/>
  <c r="H7" i="40"/>
  <c r="G7" i="40"/>
  <c r="H7" i="27"/>
  <c r="G7" i="27"/>
  <c r="E33" i="27"/>
  <c r="D33" i="27"/>
  <c r="C33" i="27"/>
  <c r="B33" i="27"/>
  <c r="B7" i="27"/>
  <c r="L7" i="28"/>
  <c r="H7" i="28"/>
  <c r="G7" i="28"/>
  <c r="F7" i="28"/>
  <c r="D7" i="28"/>
  <c r="G6" i="26"/>
  <c r="E6" i="26"/>
  <c r="C6" i="26"/>
  <c r="B6" i="26"/>
  <c r="T7" i="25"/>
  <c r="Q7" i="33"/>
  <c r="Y7" i="29"/>
  <c r="J7" i="14"/>
  <c r="I7" i="14"/>
  <c r="T7" i="29"/>
  <c r="K7" i="34"/>
  <c r="O7" i="29"/>
  <c r="K7" i="11"/>
  <c r="Y5" i="29"/>
  <c r="J7" i="29"/>
  <c r="J7" i="17"/>
  <c r="E7" i="29"/>
  <c r="J7" i="10"/>
  <c r="E5" i="31" l="1"/>
  <c r="D5" i="31"/>
  <c r="C5" i="31"/>
  <c r="J5" i="31"/>
  <c r="H5" i="30"/>
  <c r="G5" i="30"/>
  <c r="F5" i="30"/>
  <c r="Q5" i="40"/>
  <c r="P5" i="40"/>
  <c r="O5" i="40"/>
  <c r="I5" i="40"/>
  <c r="H5" i="40"/>
  <c r="G5" i="40"/>
  <c r="H5" i="27"/>
  <c r="G5" i="27"/>
  <c r="E31" i="27"/>
  <c r="D31" i="27"/>
  <c r="C31" i="27"/>
  <c r="D5" i="30"/>
  <c r="E5" i="40"/>
  <c r="L5" i="28"/>
  <c r="H5" i="28"/>
  <c r="G5" i="28"/>
  <c r="F5" i="28"/>
  <c r="D5" i="28"/>
  <c r="E4" i="26"/>
  <c r="C4" i="26"/>
  <c r="B4" i="26"/>
  <c r="T5" i="25"/>
  <c r="Q5" i="33"/>
  <c r="T5" i="29"/>
  <c r="K5" i="34"/>
  <c r="J5" i="29"/>
  <c r="J5" i="17"/>
  <c r="E5" i="29"/>
  <c r="J5" i="10"/>
  <c r="E8" i="31" l="1"/>
  <c r="D8" i="31"/>
  <c r="C8" i="31"/>
  <c r="J8" i="31"/>
  <c r="H8" i="30"/>
  <c r="G8" i="30"/>
  <c r="F8" i="30"/>
  <c r="D8" i="30"/>
  <c r="Q8" i="40"/>
  <c r="P8" i="40"/>
  <c r="O8" i="40"/>
  <c r="I8" i="40"/>
  <c r="H8" i="40"/>
  <c r="G8" i="40"/>
  <c r="E8" i="40"/>
  <c r="H8" i="27"/>
  <c r="G8" i="27"/>
  <c r="E34" i="27"/>
  <c r="D34" i="27"/>
  <c r="C34" i="27"/>
  <c r="B8" i="27"/>
  <c r="L8" i="28"/>
  <c r="G8" i="28"/>
  <c r="F8" i="28"/>
  <c r="H8" i="28" s="1"/>
  <c r="D8" i="28"/>
  <c r="G7" i="26"/>
  <c r="E7" i="26"/>
  <c r="C7" i="26"/>
  <c r="T8" i="25"/>
  <c r="Q8" i="33"/>
  <c r="R8" i="33" s="1"/>
  <c r="R21" i="33" s="1"/>
  <c r="Y8" i="29"/>
  <c r="O8" i="29"/>
  <c r="K8" i="11"/>
  <c r="J8" i="29"/>
  <c r="J8" i="17"/>
  <c r="E8" i="29"/>
  <c r="J8" i="10"/>
  <c r="B7" i="26" l="1"/>
  <c r="E20" i="31"/>
  <c r="D20" i="31"/>
  <c r="C20" i="31"/>
  <c r="J20" i="31"/>
  <c r="J18" i="30"/>
  <c r="G20" i="30"/>
  <c r="F20" i="30"/>
  <c r="D20" i="30"/>
  <c r="Q20" i="40"/>
  <c r="P20" i="40"/>
  <c r="O20" i="40"/>
  <c r="I20" i="40"/>
  <c r="H20" i="40"/>
  <c r="G20" i="40"/>
  <c r="T20" i="40"/>
  <c r="E20" i="40"/>
  <c r="H20" i="27"/>
  <c r="G20" i="27"/>
  <c r="E20" i="27"/>
  <c r="D46" i="27"/>
  <c r="B20" i="27"/>
  <c r="L20" i="28"/>
  <c r="H20" i="28"/>
  <c r="G20" i="28"/>
  <c r="F20" i="28"/>
  <c r="D20" i="28"/>
  <c r="G19" i="26"/>
  <c r="E19" i="26"/>
  <c r="C19" i="26"/>
  <c r="T20" i="25"/>
  <c r="Q20" i="33"/>
  <c r="B19" i="26" s="1"/>
  <c r="Y20" i="29"/>
  <c r="T20" i="29"/>
  <c r="O20" i="29"/>
  <c r="J20" i="29"/>
  <c r="E20" i="29"/>
  <c r="K20" i="11"/>
  <c r="J20" i="17"/>
  <c r="J20" i="10"/>
  <c r="E9" i="31" l="1"/>
  <c r="D9" i="31"/>
  <c r="C9" i="31"/>
  <c r="J9" i="31"/>
  <c r="G9" i="30"/>
  <c r="F9" i="30"/>
  <c r="H9" i="30" s="1"/>
  <c r="D9" i="30"/>
  <c r="Q9" i="40"/>
  <c r="O9" i="40"/>
  <c r="M9" i="40"/>
  <c r="I9" i="40"/>
  <c r="G9" i="40"/>
  <c r="T9" i="40"/>
  <c r="E9" i="40"/>
  <c r="H9" i="27"/>
  <c r="G9" i="27"/>
  <c r="E9" i="27"/>
  <c r="B9" i="27"/>
  <c r="L9" i="28"/>
  <c r="H9" i="28"/>
  <c r="D9" i="28"/>
  <c r="G8" i="26"/>
  <c r="E8" i="26"/>
  <c r="C8" i="26"/>
  <c r="B8" i="26"/>
  <c r="T9" i="25"/>
  <c r="Q9" i="33"/>
  <c r="J9" i="29"/>
  <c r="E9" i="29"/>
  <c r="J9" i="17"/>
  <c r="J9" i="10"/>
  <c r="E17" i="31" l="1"/>
  <c r="D17" i="31"/>
  <c r="C17" i="31"/>
  <c r="J17" i="31"/>
  <c r="G17" i="30"/>
  <c r="F17" i="30"/>
  <c r="Q17" i="40"/>
  <c r="P17" i="40"/>
  <c r="O17" i="40"/>
  <c r="I17" i="40"/>
  <c r="H17" i="40"/>
  <c r="G17" i="40"/>
  <c r="H17" i="27"/>
  <c r="G17" i="27"/>
  <c r="B43" i="27"/>
  <c r="C43" i="27" s="1"/>
  <c r="E17" i="27"/>
  <c r="D43" i="27"/>
  <c r="B17" i="27"/>
  <c r="L17" i="28"/>
  <c r="G17" i="28"/>
  <c r="F17" i="28"/>
  <c r="H17" i="28" s="1"/>
  <c r="D17" i="28"/>
  <c r="G16" i="26"/>
  <c r="E16" i="26"/>
  <c r="C16" i="26"/>
  <c r="T17" i="25"/>
  <c r="Q17" i="25"/>
  <c r="N17" i="25"/>
  <c r="K17" i="25"/>
  <c r="H17" i="25"/>
  <c r="E17" i="25"/>
  <c r="B17" i="25"/>
  <c r="H17" i="33"/>
  <c r="S17" i="33"/>
  <c r="N17" i="33"/>
  <c r="K17" i="33"/>
  <c r="E17" i="33"/>
  <c r="B17" i="33"/>
  <c r="Y17" i="29"/>
  <c r="T17" i="29"/>
  <c r="O17" i="29"/>
  <c r="J17" i="29"/>
  <c r="E17" i="29"/>
  <c r="F17" i="29"/>
  <c r="K17" i="34"/>
  <c r="K17" i="11"/>
  <c r="J17" i="17"/>
  <c r="J17" i="10"/>
  <c r="E19" i="31"/>
  <c r="D19" i="31"/>
  <c r="C19" i="31"/>
  <c r="J19" i="31"/>
  <c r="H19" i="30"/>
  <c r="G19" i="30"/>
  <c r="F19" i="30"/>
  <c r="D19" i="30"/>
  <c r="C19" i="30"/>
  <c r="B19" i="30"/>
  <c r="Q19" i="40"/>
  <c r="P19" i="40"/>
  <c r="O19" i="40"/>
  <c r="M19" i="40"/>
  <c r="L19" i="40"/>
  <c r="K19" i="40"/>
  <c r="I19" i="40"/>
  <c r="H19" i="40"/>
  <c r="G19" i="40"/>
  <c r="E19" i="40"/>
  <c r="D19" i="40"/>
  <c r="C19" i="40"/>
  <c r="H19" i="27"/>
  <c r="G19" i="27"/>
  <c r="E19" i="27"/>
  <c r="D45" i="27"/>
  <c r="C45" i="27"/>
  <c r="B19" i="27"/>
  <c r="L19" i="28"/>
  <c r="H19" i="28"/>
  <c r="G19" i="28"/>
  <c r="F19" i="28"/>
  <c r="D19" i="28"/>
  <c r="G18" i="26"/>
  <c r="E18" i="26"/>
  <c r="C18" i="26"/>
  <c r="T19" i="25"/>
  <c r="Q19" i="25"/>
  <c r="N19" i="25"/>
  <c r="K19" i="25"/>
  <c r="H19" i="25"/>
  <c r="E19" i="25"/>
  <c r="B19" i="25"/>
  <c r="S19" i="33"/>
  <c r="N19" i="33"/>
  <c r="K19" i="33"/>
  <c r="E19" i="33"/>
  <c r="B19" i="33"/>
  <c r="Y19" i="29"/>
  <c r="T19" i="29"/>
  <c r="O19" i="29"/>
  <c r="J19" i="29"/>
  <c r="E19" i="29"/>
  <c r="K19" i="11"/>
  <c r="J19" i="17"/>
  <c r="J19" i="10"/>
  <c r="E21" i="31" l="1"/>
  <c r="I21" i="31" s="1"/>
  <c r="D21" i="31"/>
  <c r="H21" i="31" s="1"/>
  <c r="C21" i="31"/>
  <c r="G21" i="31" s="1"/>
  <c r="J21" i="31" s="1"/>
  <c r="Q19" i="33"/>
  <c r="Q17" i="33"/>
  <c r="B16" i="26" s="1"/>
  <c r="C25" i="3"/>
  <c r="C26" i="3" s="1"/>
  <c r="E25" i="3"/>
  <c r="E26" i="3" s="1"/>
  <c r="F25" i="3"/>
  <c r="F26" i="3" s="1"/>
  <c r="G25" i="3"/>
  <c r="G26" i="3" s="1"/>
  <c r="H25" i="3"/>
  <c r="H26" i="3" s="1"/>
  <c r="I25" i="3"/>
  <c r="I26" i="3" s="1"/>
  <c r="J25" i="3"/>
  <c r="J26" i="3" s="1"/>
  <c r="K25" i="3"/>
  <c r="K26" i="3" s="1"/>
  <c r="L25" i="3"/>
  <c r="L26" i="3" s="1"/>
  <c r="M25" i="3"/>
  <c r="M26" i="3" s="1"/>
  <c r="N25" i="3"/>
  <c r="N26" i="3" s="1"/>
  <c r="D25" i="3"/>
  <c r="D26" i="3" s="1"/>
  <c r="O26" i="3" l="1"/>
  <c r="B18" i="26"/>
  <c r="B20" i="26" s="1"/>
  <c r="Q21" i="33"/>
  <c r="L21" i="3"/>
  <c r="L22" i="3" s="1"/>
  <c r="L23" i="3" s="1"/>
  <c r="B14" i="7" l="1"/>
  <c r="D14" i="7"/>
  <c r="E14" i="7"/>
  <c r="F14" i="7"/>
  <c r="G14" i="7"/>
  <c r="H14" i="7"/>
  <c r="I14" i="7"/>
  <c r="J14" i="7"/>
  <c r="K14" i="7"/>
  <c r="L14" i="7"/>
  <c r="M14" i="7"/>
  <c r="N14" i="7" l="1"/>
  <c r="H6" i="38"/>
  <c r="H8" i="38"/>
  <c r="H9" i="38"/>
  <c r="H10" i="38"/>
  <c r="H12" i="38"/>
  <c r="H13" i="38"/>
  <c r="H5" i="5" l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H20" i="5" l="1"/>
  <c r="F33" i="5" l="1"/>
  <c r="F32" i="5"/>
  <c r="H13" i="2" l="1"/>
  <c r="I13" i="2" s="1"/>
  <c r="AF13" i="3"/>
  <c r="AD11" i="3"/>
  <c r="AE11" i="3" s="1"/>
  <c r="AF11" i="3" l="1"/>
  <c r="AG11" i="3" s="1"/>
  <c r="AD10" i="3"/>
  <c r="AD9" i="3"/>
  <c r="AD7" i="3"/>
  <c r="O10" i="3" l="1"/>
  <c r="O11" i="3" s="1"/>
  <c r="AF10" i="3"/>
  <c r="AE9" i="3"/>
  <c r="AG10" i="3" l="1"/>
  <c r="AF9" i="3"/>
  <c r="O9" i="3"/>
  <c r="P10" i="3" l="1"/>
  <c r="P11" i="3" s="1"/>
  <c r="AG9" i="3"/>
  <c r="P9" i="3" l="1"/>
  <c r="B48" i="28" l="1"/>
  <c r="C48" i="28"/>
  <c r="D48" i="28"/>
  <c r="R21" i="40" l="1"/>
  <c r="S21" i="40"/>
  <c r="T21" i="40"/>
  <c r="M4" i="26"/>
  <c r="Q21" i="40" l="1"/>
  <c r="I21" i="40"/>
  <c r="H21" i="40"/>
  <c r="P21" i="40"/>
  <c r="G21" i="40"/>
  <c r="O21" i="40"/>
  <c r="E8" i="24"/>
  <c r="E9" i="24"/>
  <c r="E10" i="24"/>
  <c r="E11" i="24"/>
  <c r="E12" i="24"/>
  <c r="E13" i="24"/>
  <c r="E14" i="24"/>
  <c r="E15" i="24"/>
  <c r="E16" i="24"/>
  <c r="E7" i="24"/>
  <c r="E6" i="24"/>
  <c r="E5" i="24"/>
  <c r="G14" i="38" l="1"/>
  <c r="H14" i="38" s="1"/>
  <c r="G11" i="38"/>
  <c r="H11" i="38" s="1"/>
  <c r="G7" i="38"/>
  <c r="H7" i="38" s="1"/>
  <c r="M10" i="6"/>
  <c r="M11" i="6"/>
  <c r="M12" i="6"/>
  <c r="M13" i="6"/>
  <c r="M14" i="6"/>
  <c r="M15" i="6"/>
  <c r="M16" i="6"/>
  <c r="M17" i="6"/>
  <c r="G15" i="38" l="1"/>
  <c r="H12" i="2"/>
  <c r="I12" i="2" s="1"/>
  <c r="E12" i="2" s="1"/>
  <c r="AD5" i="3"/>
  <c r="AE5" i="3" l="1"/>
  <c r="O5" i="3" l="1"/>
  <c r="G28" i="11" l="1"/>
  <c r="I53" i="7" l="1"/>
  <c r="H53" i="7"/>
  <c r="G53" i="7"/>
  <c r="F53" i="7"/>
  <c r="E53" i="7"/>
  <c r="D53" i="7"/>
  <c r="C53" i="7"/>
  <c r="B53" i="7"/>
  <c r="H10" i="8" l="1"/>
  <c r="H11" i="2" l="1"/>
  <c r="J21" i="30" l="1"/>
  <c r="K21" i="30" l="1"/>
  <c r="F15" i="38" l="1"/>
  <c r="H15" i="38" s="1"/>
  <c r="E15" i="38"/>
  <c r="H5" i="38"/>
  <c r="M19" i="6" l="1"/>
  <c r="AF5" i="4" l="1"/>
  <c r="AG5" i="4" s="1"/>
  <c r="AH5" i="4" s="1"/>
  <c r="AF6" i="4"/>
  <c r="AG6" i="4" s="1"/>
  <c r="AH6" i="4" s="1"/>
  <c r="AF7" i="4"/>
  <c r="AG7" i="4" s="1"/>
  <c r="AH7" i="4" s="1"/>
  <c r="AF8" i="4"/>
  <c r="AG8" i="4" s="1"/>
  <c r="AH8" i="4" s="1"/>
  <c r="AF9" i="4"/>
  <c r="AG9" i="4" s="1"/>
  <c r="AH9" i="4" s="1"/>
  <c r="AF10" i="4"/>
  <c r="AG10" i="4" s="1"/>
  <c r="AH10" i="4" s="1"/>
  <c r="AF11" i="4"/>
  <c r="AG11" i="4" s="1"/>
  <c r="AH11" i="4" s="1"/>
  <c r="AF12" i="4"/>
  <c r="AG12" i="4" s="1"/>
  <c r="AH12" i="4" s="1"/>
  <c r="AF13" i="4"/>
  <c r="AG13" i="4" s="1"/>
  <c r="AH13" i="4" s="1"/>
  <c r="AF14" i="4"/>
  <c r="AG14" i="4" s="1"/>
  <c r="AH14" i="4" s="1"/>
  <c r="I11" i="2"/>
  <c r="E11" i="2" s="1"/>
  <c r="AF5" i="3"/>
  <c r="AD6" i="3"/>
  <c r="AE6" i="3" s="1"/>
  <c r="AE7" i="3"/>
  <c r="AD8" i="3"/>
  <c r="AE8" i="3" s="1"/>
  <c r="K24" i="4" l="1"/>
  <c r="AF8" i="3"/>
  <c r="O8" i="3"/>
  <c r="AF6" i="3"/>
  <c r="O6" i="3"/>
  <c r="AF7" i="3"/>
  <c r="O7" i="3"/>
  <c r="AK6" i="25" l="1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5" i="25"/>
  <c r="E28" i="26" l="1"/>
  <c r="E31" i="26" s="1"/>
  <c r="H9" i="2" l="1"/>
  <c r="H10" i="2"/>
  <c r="I10" i="2" s="1"/>
  <c r="E10" i="2" s="1"/>
  <c r="G24" i="4"/>
  <c r="AG24" i="4" l="1"/>
  <c r="AH24" i="4" s="1"/>
  <c r="AG17" i="4"/>
  <c r="AH17" i="4" s="1"/>
  <c r="AG22" i="4"/>
  <c r="AH22" i="4" s="1"/>
  <c r="AG20" i="4"/>
  <c r="AH20" i="4" s="1"/>
  <c r="M20" i="6"/>
  <c r="M18" i="6"/>
  <c r="M9" i="6"/>
  <c r="M8" i="6"/>
  <c r="M7" i="6"/>
  <c r="M6" i="6"/>
  <c r="M5" i="6"/>
  <c r="K25" i="26" l="1"/>
  <c r="O50" i="4" l="1"/>
  <c r="N50" i="4"/>
  <c r="M50" i="4"/>
  <c r="L50" i="4"/>
  <c r="K50" i="4"/>
  <c r="J50" i="4"/>
  <c r="I50" i="4"/>
  <c r="H50" i="4"/>
  <c r="G50" i="4"/>
  <c r="F50" i="4"/>
  <c r="E50" i="4"/>
  <c r="D50" i="4"/>
  <c r="C50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D36" i="4"/>
  <c r="E36" i="4"/>
  <c r="F36" i="4"/>
  <c r="G36" i="4"/>
  <c r="H36" i="4"/>
  <c r="I36" i="4"/>
  <c r="J36" i="4"/>
  <c r="K36" i="4"/>
  <c r="L36" i="4"/>
  <c r="M36" i="4"/>
  <c r="N36" i="4"/>
  <c r="O36" i="4"/>
  <c r="C36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D32" i="4"/>
  <c r="E32" i="4"/>
  <c r="F32" i="4"/>
  <c r="G32" i="4"/>
  <c r="H32" i="4"/>
  <c r="I32" i="4"/>
  <c r="J32" i="4"/>
  <c r="K32" i="4"/>
  <c r="L32" i="4"/>
  <c r="M32" i="4"/>
  <c r="N32" i="4"/>
  <c r="O32" i="4"/>
  <c r="C32" i="4"/>
  <c r="P40" i="4" l="1"/>
  <c r="Q40" i="4" s="1"/>
  <c r="R40" i="4" s="1"/>
  <c r="P46" i="4"/>
  <c r="Q46" i="4" s="1"/>
  <c r="R46" i="4" s="1"/>
  <c r="P36" i="4"/>
  <c r="Q36" i="4" s="1"/>
  <c r="R36" i="4" s="1"/>
  <c r="P38" i="4"/>
  <c r="Q38" i="4" s="1"/>
  <c r="R38" i="4" s="1"/>
  <c r="P32" i="4"/>
  <c r="Q32" i="4" s="1"/>
  <c r="R32" i="4" s="1"/>
  <c r="P42" i="4"/>
  <c r="Q42" i="4" s="1"/>
  <c r="R42" i="4" s="1"/>
  <c r="P48" i="4"/>
  <c r="Q48" i="4" s="1"/>
  <c r="R48" i="4" s="1"/>
  <c r="P50" i="4"/>
  <c r="Q50" i="4" s="1"/>
  <c r="R50" i="4" s="1"/>
  <c r="P34" i="4"/>
  <c r="Q34" i="4" s="1"/>
  <c r="R34" i="4" s="1"/>
  <c r="P44" i="4"/>
  <c r="Q44" i="4" s="1"/>
  <c r="R44" i="4" s="1"/>
  <c r="I9" i="2" l="1"/>
  <c r="H8" i="2" l="1"/>
  <c r="I8" i="2" s="1"/>
  <c r="H7" i="2" l="1"/>
  <c r="I7" i="2" s="1"/>
  <c r="AG5" i="3" l="1"/>
  <c r="P5" i="3" s="1"/>
  <c r="AG7" i="3" l="1"/>
  <c r="P7" i="3" s="1"/>
  <c r="AG6" i="3"/>
  <c r="P6" i="3" s="1"/>
  <c r="AG8" i="3"/>
  <c r="P8" i="3" s="1"/>
  <c r="O23" i="3" s="1"/>
  <c r="Z1" i="4"/>
  <c r="H4" i="2" l="1"/>
  <c r="I4" i="2" s="1"/>
  <c r="H5" i="2"/>
  <c r="I5" i="2" s="1"/>
  <c r="H6" i="2"/>
  <c r="I6" i="2" s="1"/>
</calcChain>
</file>

<file path=xl/sharedStrings.xml><?xml version="1.0" encoding="utf-8"?>
<sst xmlns="http://schemas.openxmlformats.org/spreadsheetml/2006/main" count="2143" uniqueCount="521">
  <si>
    <t>الموقع</t>
  </si>
  <si>
    <t>السنة المائية</t>
  </si>
  <si>
    <t>(2011-2010)</t>
  </si>
  <si>
    <t>(2012-2011)</t>
  </si>
  <si>
    <t>المصدر : وزارة الموارد المائية / دائرة التخطيط والمتابعة / قسم السياسات البيئية</t>
  </si>
  <si>
    <t>عدد السكان *</t>
  </si>
  <si>
    <t>(2010-2009)</t>
  </si>
  <si>
    <t>ت</t>
  </si>
  <si>
    <t>ت1</t>
  </si>
  <si>
    <t>ت2</t>
  </si>
  <si>
    <t>ك1</t>
  </si>
  <si>
    <t>ك2</t>
  </si>
  <si>
    <t>شباط</t>
  </si>
  <si>
    <t>أذار</t>
  </si>
  <si>
    <t>نيسان</t>
  </si>
  <si>
    <t>آيار</t>
  </si>
  <si>
    <t>حزيران</t>
  </si>
  <si>
    <t>تموز</t>
  </si>
  <si>
    <t>أب</t>
  </si>
  <si>
    <t>أيلول</t>
  </si>
  <si>
    <t>آذار</t>
  </si>
  <si>
    <t>آب</t>
  </si>
  <si>
    <t>حوض دجلة</t>
  </si>
  <si>
    <t>حوض الفرات</t>
  </si>
  <si>
    <t>الزاب الأسفل (قناة ري كركوك)</t>
  </si>
  <si>
    <t>المجموع</t>
  </si>
  <si>
    <r>
      <t>ت</t>
    </r>
    <r>
      <rPr>
        <b/>
        <sz val="9"/>
        <rFont val="Times New Roman"/>
        <family val="1"/>
      </rPr>
      <t>1</t>
    </r>
  </si>
  <si>
    <r>
      <t>ت</t>
    </r>
    <r>
      <rPr>
        <b/>
        <sz val="9"/>
        <rFont val="Times New Roman"/>
        <family val="1"/>
      </rPr>
      <t>2</t>
    </r>
  </si>
  <si>
    <r>
      <t>ك</t>
    </r>
    <r>
      <rPr>
        <b/>
        <sz val="9"/>
        <rFont val="Times New Roman"/>
        <family val="1"/>
      </rPr>
      <t>1</t>
    </r>
  </si>
  <si>
    <r>
      <t>ك</t>
    </r>
    <r>
      <rPr>
        <b/>
        <sz val="9"/>
        <rFont val="Times New Roman"/>
        <family val="1"/>
      </rPr>
      <t>2</t>
    </r>
  </si>
  <si>
    <t>. 1</t>
  </si>
  <si>
    <t>سد الموصل</t>
  </si>
  <si>
    <t>. 2</t>
  </si>
  <si>
    <t>. 3</t>
  </si>
  <si>
    <t>. 4</t>
  </si>
  <si>
    <t>دبس</t>
  </si>
  <si>
    <t>بغداد</t>
  </si>
  <si>
    <t>. 6</t>
  </si>
  <si>
    <t>سدة سامراء</t>
  </si>
  <si>
    <t>. 7</t>
  </si>
  <si>
    <t>دربندخان</t>
  </si>
  <si>
    <t>. 8</t>
  </si>
  <si>
    <t>سد حمرين</t>
  </si>
  <si>
    <t>. 9</t>
  </si>
  <si>
    <t>. 10</t>
  </si>
  <si>
    <t>. 11</t>
  </si>
  <si>
    <t>. 12</t>
  </si>
  <si>
    <t>حديثة</t>
  </si>
  <si>
    <t>. 13</t>
  </si>
  <si>
    <t xml:space="preserve">سدة الهندية </t>
  </si>
  <si>
    <t>. 14</t>
  </si>
  <si>
    <t>سدة الكوت</t>
  </si>
  <si>
    <t>. 15</t>
  </si>
  <si>
    <t>علي الغربي</t>
  </si>
  <si>
    <t>السليمانية</t>
  </si>
  <si>
    <t>أربيل</t>
  </si>
  <si>
    <t>. 16</t>
  </si>
  <si>
    <t>الاشهر</t>
  </si>
  <si>
    <t>سد دوكان</t>
  </si>
  <si>
    <t>سد دربندخان</t>
  </si>
  <si>
    <t>بحيرة الثرثار</t>
  </si>
  <si>
    <t>سد حديثة</t>
  </si>
  <si>
    <t>بحيرة الحبانية</t>
  </si>
  <si>
    <t>تشرين الاول</t>
  </si>
  <si>
    <t>تشرين الثاني</t>
  </si>
  <si>
    <t>كانون الاول</t>
  </si>
  <si>
    <t>كانون الثاني</t>
  </si>
  <si>
    <t>الحوض</t>
  </si>
  <si>
    <t>السد أو البحيرة</t>
  </si>
  <si>
    <t>المنسوب ( م )</t>
  </si>
  <si>
    <t>حوضي دجلة والفرات</t>
  </si>
  <si>
    <t>حوض العظيم</t>
  </si>
  <si>
    <t>سد العظيم</t>
  </si>
  <si>
    <t>كربلاء</t>
  </si>
  <si>
    <t>المحافظة</t>
  </si>
  <si>
    <t>نينوى</t>
  </si>
  <si>
    <t>كركوك</t>
  </si>
  <si>
    <t>ديالى</t>
  </si>
  <si>
    <t>صلاح الدين</t>
  </si>
  <si>
    <t>أطراف بغداد</t>
  </si>
  <si>
    <t>واسط</t>
  </si>
  <si>
    <t>بابل</t>
  </si>
  <si>
    <t>النجف</t>
  </si>
  <si>
    <t>القادسية</t>
  </si>
  <si>
    <t>المثنى</t>
  </si>
  <si>
    <t>ذي قار</t>
  </si>
  <si>
    <t>ميسان</t>
  </si>
  <si>
    <t>البصرة</t>
  </si>
  <si>
    <t>أمانة بغداد</t>
  </si>
  <si>
    <t>المجموع الكلي</t>
  </si>
  <si>
    <t>ريف</t>
  </si>
  <si>
    <t>ــ يتبع ــ</t>
  </si>
  <si>
    <t>(مستعمرة)</t>
  </si>
  <si>
    <t>المشاريع</t>
  </si>
  <si>
    <t>العدّ البكتيري</t>
  </si>
  <si>
    <t>بكتريا القولون</t>
  </si>
  <si>
    <t>بكتريا القولون البرازية</t>
  </si>
  <si>
    <t>Min.</t>
  </si>
  <si>
    <t>Max.</t>
  </si>
  <si>
    <t>الكرخ</t>
  </si>
  <si>
    <t xml:space="preserve">شرق دجلة </t>
  </si>
  <si>
    <t>الصدر</t>
  </si>
  <si>
    <t>الوثبة</t>
  </si>
  <si>
    <t>الكرامة</t>
  </si>
  <si>
    <t>الدورة</t>
  </si>
  <si>
    <t xml:space="preserve">الوحدة </t>
  </si>
  <si>
    <t>الرشيد</t>
  </si>
  <si>
    <t xml:space="preserve">بكتريا القولون </t>
  </si>
  <si>
    <t xml:space="preserve">الحدود الدنيا والعليا للفحوصات البكتريولوجية </t>
  </si>
  <si>
    <t>معدل الفحوصات البكتريولوجية</t>
  </si>
  <si>
    <t xml:space="preserve"> نوع الفحص </t>
  </si>
  <si>
    <t>وحدة القياس</t>
  </si>
  <si>
    <t xml:space="preserve">ماء النهر </t>
  </si>
  <si>
    <t>ماء الشرب</t>
  </si>
  <si>
    <t>Ave.</t>
  </si>
  <si>
    <t>اللون</t>
  </si>
  <si>
    <t xml:space="preserve">Color </t>
  </si>
  <si>
    <t>درجة الحرارة</t>
  </si>
  <si>
    <t xml:space="preserve">Temperature           </t>
  </si>
  <si>
    <t xml:space="preserve">C° </t>
  </si>
  <si>
    <t>العكورة</t>
  </si>
  <si>
    <t>mg/L</t>
  </si>
  <si>
    <t>PH</t>
  </si>
  <si>
    <t>القاعدية</t>
  </si>
  <si>
    <t xml:space="preserve"> العسرة الكلية</t>
  </si>
  <si>
    <t>الكالسيوم</t>
  </si>
  <si>
    <t>Calcium as Ca</t>
  </si>
  <si>
    <t>المغنيسيوم</t>
  </si>
  <si>
    <t>Magnesium as Mg</t>
  </si>
  <si>
    <t>الكلورايد</t>
  </si>
  <si>
    <t>Chloride as CL</t>
  </si>
  <si>
    <t xml:space="preserve"> mg/L</t>
  </si>
  <si>
    <t>التوصيل الكهربائي</t>
  </si>
  <si>
    <t xml:space="preserve">Conductivity </t>
  </si>
  <si>
    <t>µs/cm</t>
  </si>
  <si>
    <t>الالمنيوم</t>
  </si>
  <si>
    <t xml:space="preserve">Aluminium as AL </t>
  </si>
  <si>
    <t>mg /L</t>
  </si>
  <si>
    <t xml:space="preserve"> المواد الصلبة المذابة</t>
  </si>
  <si>
    <t>Total Dissolve solids</t>
  </si>
  <si>
    <t xml:space="preserve">Suspended solids </t>
  </si>
  <si>
    <t xml:space="preserve">Iron as Fe </t>
  </si>
  <si>
    <t xml:space="preserve">الكبريتات </t>
  </si>
  <si>
    <t xml:space="preserve">الفلورايد  </t>
  </si>
  <si>
    <t xml:space="preserve">Fluoride as F </t>
  </si>
  <si>
    <t xml:space="preserve">امونيا </t>
  </si>
  <si>
    <t xml:space="preserve">نتريت   </t>
  </si>
  <si>
    <t xml:space="preserve">نترات </t>
  </si>
  <si>
    <t xml:space="preserve">سيلكا </t>
  </si>
  <si>
    <t xml:space="preserve">الفوسفات  </t>
  </si>
  <si>
    <t>كاديميوم</t>
  </si>
  <si>
    <t xml:space="preserve">Cadmium as Cd </t>
  </si>
  <si>
    <t>رصاص</t>
  </si>
  <si>
    <t>Lead as Pb</t>
  </si>
  <si>
    <t>منغنيز</t>
  </si>
  <si>
    <t>Manganese as Mn</t>
  </si>
  <si>
    <t>نحاس</t>
  </si>
  <si>
    <t>Copper as Cu</t>
  </si>
  <si>
    <t>كروم</t>
  </si>
  <si>
    <t>Chromium as Cr</t>
  </si>
  <si>
    <t>زنك</t>
  </si>
  <si>
    <t>Zinc as Zn</t>
  </si>
  <si>
    <t>صوديوم</t>
  </si>
  <si>
    <t>Sodium as Na</t>
  </si>
  <si>
    <t>بوتاسيوم</t>
  </si>
  <si>
    <t xml:space="preserve">Potassium as K </t>
  </si>
  <si>
    <t>زرنيخ</t>
  </si>
  <si>
    <t>Arsenic as As</t>
  </si>
  <si>
    <t>زئبق</t>
  </si>
  <si>
    <t>Mercury as Hg</t>
  </si>
  <si>
    <t xml:space="preserve">وحدة القياس </t>
  </si>
  <si>
    <t>Turbidity</t>
  </si>
  <si>
    <t>العسرة الكلية</t>
  </si>
  <si>
    <t>T.H.</t>
  </si>
  <si>
    <t>ALK.</t>
  </si>
  <si>
    <t xml:space="preserve">الأملاح الذائبة الكلية            </t>
  </si>
  <si>
    <t>T.D.S.</t>
  </si>
  <si>
    <t xml:space="preserve">الأس الهيدروجيني                                </t>
  </si>
  <si>
    <t xml:space="preserve">الكلوريدات </t>
  </si>
  <si>
    <t>Cl</t>
  </si>
  <si>
    <t xml:space="preserve">الكالسيوم  </t>
  </si>
  <si>
    <t>Ca</t>
  </si>
  <si>
    <t xml:space="preserve">المغنيسيوم  </t>
  </si>
  <si>
    <t>Mg</t>
  </si>
  <si>
    <t xml:space="preserve">التوصيل الكهربائي                                           </t>
  </si>
  <si>
    <t>E.C.</t>
  </si>
  <si>
    <t>الصوديوم</t>
  </si>
  <si>
    <t>Na</t>
  </si>
  <si>
    <t>البوتاسيوم</t>
  </si>
  <si>
    <t>K</t>
  </si>
  <si>
    <t>الكبريتات</t>
  </si>
  <si>
    <t>SO4</t>
  </si>
  <si>
    <t xml:space="preserve">تشرين الأول </t>
  </si>
  <si>
    <t>كانون الأول</t>
  </si>
  <si>
    <t>ت 1</t>
  </si>
  <si>
    <t>ت 2</t>
  </si>
  <si>
    <t>ك 1</t>
  </si>
  <si>
    <t>هور الحويزة</t>
  </si>
  <si>
    <t>نهر دجلة الرئيسي</t>
  </si>
  <si>
    <t xml:space="preserve"> ديالى</t>
  </si>
  <si>
    <t>الحديد</t>
  </si>
  <si>
    <t>نوع الفحص</t>
  </si>
  <si>
    <t>E.coli / 100 ml</t>
  </si>
  <si>
    <r>
      <t>Alkalinity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 </t>
    </r>
  </si>
  <si>
    <r>
      <t>Sulfate as SO</t>
    </r>
    <r>
      <rPr>
        <b/>
        <sz val="8"/>
        <rFont val="Times New Roman"/>
        <family val="1"/>
      </rPr>
      <t>4</t>
    </r>
    <r>
      <rPr>
        <b/>
        <sz val="10"/>
        <rFont val="Times New Roman"/>
        <family val="1"/>
      </rPr>
      <t xml:space="preserve"> </t>
    </r>
  </si>
  <si>
    <t>(2013-2012)</t>
  </si>
  <si>
    <t>إجمالي</t>
  </si>
  <si>
    <t>البلديات</t>
  </si>
  <si>
    <t xml:space="preserve">Turbidity </t>
  </si>
  <si>
    <t>N.T.U</t>
  </si>
  <si>
    <r>
      <t>Ammonia as NH</t>
    </r>
    <r>
      <rPr>
        <b/>
        <sz val="8"/>
        <rFont val="Times New Roman"/>
        <family val="1"/>
      </rPr>
      <t>3</t>
    </r>
  </si>
  <si>
    <r>
      <t>Nitrite as NO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</si>
  <si>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Nitrate as NO</t>
    </r>
    <r>
      <rPr>
        <b/>
        <sz val="8"/>
        <rFont val="Simplified Arabic"/>
        <family val="1"/>
      </rPr>
      <t>3</t>
    </r>
    <r>
      <rPr>
        <b/>
        <sz val="10"/>
        <rFont val="Simplified Arabic"/>
        <family val="1"/>
      </rPr>
      <t xml:space="preserve"> </t>
    </r>
  </si>
  <si>
    <r>
      <t>Silica as SiO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</si>
  <si>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Phosphate as  PO</t>
    </r>
    <r>
      <rPr>
        <b/>
        <sz val="8"/>
        <rFont val="Simplified Arabic"/>
        <family val="1"/>
      </rPr>
      <t>4</t>
    </r>
    <r>
      <rPr>
        <b/>
        <sz val="10"/>
        <rFont val="Simplified Arabic"/>
        <family val="1"/>
      </rPr>
      <t xml:space="preserve"> </t>
    </r>
  </si>
  <si>
    <t>مجموع</t>
  </si>
  <si>
    <t>تقسيم 12</t>
  </si>
  <si>
    <t>رافد الزاب الأسفل</t>
  </si>
  <si>
    <t>رافد نهر ديالى</t>
  </si>
  <si>
    <t>حوض العظيم (مؤخر سد العظيم)</t>
  </si>
  <si>
    <t>الإجمالي</t>
  </si>
  <si>
    <t>النسبة المئوية</t>
  </si>
  <si>
    <t xml:space="preserve">آذار </t>
  </si>
  <si>
    <t>الزاب الأسفل</t>
  </si>
  <si>
    <t>الأس الهيدروجيني</t>
  </si>
  <si>
    <t xml:space="preserve">   * فحص المواد العالقة الصلبة يجرى لماء النهر فقط </t>
  </si>
  <si>
    <t xml:space="preserve">   المصدر : أمانة بغداد / دائرة ماء بغداد / قسم السيطرة النوعية </t>
  </si>
  <si>
    <t>المصدر : أمانة بغداد / دائرة ماء بغداد / قسم السيطرة النوعية</t>
  </si>
  <si>
    <t>قسم إحصاءات البيئة - الجهاز المركزي للإحصاء / العراق</t>
  </si>
  <si>
    <t>(2014-2013)</t>
  </si>
  <si>
    <t>2014-2013</t>
  </si>
  <si>
    <t>إجمالي التجهيز      (مليار م³)</t>
  </si>
  <si>
    <t xml:space="preserve">الكاظمية </t>
  </si>
  <si>
    <t>المعدل الشهري ( م³ / ثا)</t>
  </si>
  <si>
    <t>حوض ديالى                   ( مؤخر سد حمرين)</t>
  </si>
  <si>
    <t>2014 - 2015</t>
  </si>
  <si>
    <t>(2015-2014)</t>
  </si>
  <si>
    <t>بدرة</t>
  </si>
  <si>
    <t>الناصرية</t>
  </si>
  <si>
    <t xml:space="preserve">سد حمرين </t>
  </si>
  <si>
    <t>دهوك</t>
  </si>
  <si>
    <t>الموسم الشتوي ( م³/ ثا)</t>
  </si>
  <si>
    <t>الموسم الصيفي ( م³/ ثا)</t>
  </si>
  <si>
    <t>الأشهر</t>
  </si>
  <si>
    <t>&lt;0.01</t>
  </si>
  <si>
    <t>&lt;0.001</t>
  </si>
  <si>
    <t>&lt;0.002</t>
  </si>
  <si>
    <t>&lt;0.02</t>
  </si>
  <si>
    <t>حوض ديالى (مؤخر سد حمرين)</t>
  </si>
  <si>
    <t xml:space="preserve"> مشاريع المياه</t>
  </si>
  <si>
    <t xml:space="preserve"> النسبة المئوية لمعدل كميات المياه المنتجة إلى الطاقة التصميمية </t>
  </si>
  <si>
    <t>العدد</t>
  </si>
  <si>
    <t>%</t>
  </si>
  <si>
    <t>قسم احصاءات البيئة - الجهاز المركزي للاحصاء / العراق</t>
  </si>
  <si>
    <t>المجمعات المائية</t>
  </si>
  <si>
    <r>
      <t>مجموع الطاقات التصميمية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</si>
  <si>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الطاقات المتاحة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</si>
  <si>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النسبة المئوية لمعدل كميات المياه المنتجة إلى الطاقة التصميمية</t>
  </si>
  <si>
    <r>
      <t xml:space="preserve"> معدل كميات المياه المنتجة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</si>
  <si>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محطات تحلية المياه (RO)</t>
  </si>
  <si>
    <t xml:space="preserve">النسبة المئوية لمعدل كميات المياه المحلاة المنتجة إلى الطاقة التصميمية </t>
  </si>
  <si>
    <t>المحطات العاملة بالطاقة الشمسية</t>
  </si>
  <si>
    <t>مشاريع المياه</t>
  </si>
  <si>
    <t xml:space="preserve">النسبة المئوية لمعدل كميات المياه المفقودة (الضياعات) أثناء النقل بشبكة توزيع المياه </t>
  </si>
  <si>
    <t xml:space="preserve">حضر </t>
  </si>
  <si>
    <t>عدد السكان المخدومين بشبكات توزيع المياه الصالحة للشرب (نسمة)</t>
  </si>
  <si>
    <t>عدد السكان الكلي في المحافظة (نسمة) *</t>
  </si>
  <si>
    <t>* عدد السكان حسب تقديرات الجهاز المركزي للإحصاء</t>
  </si>
  <si>
    <t>عدد السكان المخدومين</t>
  </si>
  <si>
    <t>نسبة السكان المخدومين</t>
  </si>
  <si>
    <t>حضر</t>
  </si>
  <si>
    <t xml:space="preserve">ريف </t>
  </si>
  <si>
    <t xml:space="preserve">الماء الخام </t>
  </si>
  <si>
    <t xml:space="preserve">.. بيانات غير متوفرة </t>
  </si>
  <si>
    <t xml:space="preserve">بحيرة الثرثار </t>
  </si>
  <si>
    <t xml:space="preserve">سد العظيم </t>
  </si>
  <si>
    <t xml:space="preserve">بحيرة الحبانية </t>
  </si>
  <si>
    <t>.. بيانات غير متوفرة</t>
  </si>
  <si>
    <t>العدد الكلي</t>
  </si>
  <si>
    <t xml:space="preserve">مجموع الطاقات التصميمية </t>
  </si>
  <si>
    <t xml:space="preserve"> (م³/ يوم)</t>
  </si>
  <si>
    <t>المياه السطحية</t>
  </si>
  <si>
    <t>المياه الجوفية</t>
  </si>
  <si>
    <t xml:space="preserve">صلاح الدين </t>
  </si>
  <si>
    <t>المشاريع والمجمعات المائية</t>
  </si>
  <si>
    <t xml:space="preserve">العدد الكلي </t>
  </si>
  <si>
    <t>العاملة</t>
  </si>
  <si>
    <t>المتوقفة</t>
  </si>
  <si>
    <t xml:space="preserve">العاملة   جزئياً </t>
  </si>
  <si>
    <t xml:space="preserve">العاملة    جزئياً </t>
  </si>
  <si>
    <t>الحاجة التقديرية لكمية المياه الصالحة للشرب (م³/ يوم)</t>
  </si>
  <si>
    <t>منزلي</t>
  </si>
  <si>
    <t>حكومي</t>
  </si>
  <si>
    <t>أخرى</t>
  </si>
  <si>
    <t>أهم المشاكل</t>
  </si>
  <si>
    <t>عدد المحافظات</t>
  </si>
  <si>
    <t>أسماء المحافظات</t>
  </si>
  <si>
    <t>عدم كفاءة المشروع</t>
  </si>
  <si>
    <t>شحة المياه الخام في المصدر المائي</t>
  </si>
  <si>
    <t>تلوث مياه المصدر</t>
  </si>
  <si>
    <t>قدم الشبكة وضعفها</t>
  </si>
  <si>
    <t>أنتاج المشروع لا يسد الحاجة</t>
  </si>
  <si>
    <t>ضعف الصيانة وعدم الإدامة</t>
  </si>
  <si>
    <t>شحة الأدوات الاحتياطية والمواد الأولية</t>
  </si>
  <si>
    <t>قلة الكادر الفني والإداري</t>
  </si>
  <si>
    <t>عدم كفاءة الكادر الفني</t>
  </si>
  <si>
    <t>شحة وتذبذب الطاقة الكهربائية اللازمة للتشغيل</t>
  </si>
  <si>
    <t>تجاوزات المواطنين على الشبكة</t>
  </si>
  <si>
    <t>ضعف الوعي لدى المواطن بترشيد الاستهلاك</t>
  </si>
  <si>
    <t xml:space="preserve">الإجمالي </t>
  </si>
  <si>
    <t>(2016-2015)</t>
  </si>
  <si>
    <t xml:space="preserve">الكمية (م³/ يوم)  </t>
  </si>
  <si>
    <t>كمية المياه المنتجة والموزّعة حسب القطاع ( م³/ يوم)</t>
  </si>
  <si>
    <t>التوزيع النسبي للمياه المنتجة والموزّعة حسب القطاع</t>
  </si>
  <si>
    <t xml:space="preserve">أخرى </t>
  </si>
  <si>
    <t>المجموع الكلي للمحطات</t>
  </si>
  <si>
    <t>..</t>
  </si>
  <si>
    <t>.. بيانات  غير متوفرة</t>
  </si>
  <si>
    <t>كمية المياه الخام المسحوبة من المشاريع والمجمعات المائية لمحطات التحلية (م³/ يوم)</t>
  </si>
  <si>
    <t>قلة التخصيصات المالية</t>
  </si>
  <si>
    <t xml:space="preserve">الأشهر </t>
  </si>
  <si>
    <t>تقسيم مليار</t>
  </si>
  <si>
    <t xml:space="preserve">المصدر : 1.  وزارة الإعمار والإسكان والبلديات والأشغال العامة / مديريات الماء في المحافظات                                                                                                                               </t>
  </si>
  <si>
    <t xml:space="preserve">            2.  أمانة بغداد / دائرة ماء بغداد</t>
  </si>
  <si>
    <t>المصدر : وزارة الإعمار والإسكان والبلديات والأشغال العامة / المديرية العامة للماء / قسم السيطرة النوعية</t>
  </si>
  <si>
    <t>السماوة</t>
  </si>
  <si>
    <t>المجموع الكلي لكمية المياه المنتجة *</t>
  </si>
  <si>
    <t xml:space="preserve">   معدل كميات المياه المجهزّة للسكان (الماء المباع) الصالحة للشرب (م³/ يوم)</t>
  </si>
  <si>
    <t xml:space="preserve"> المجموع السنوي </t>
  </si>
  <si>
    <t xml:space="preserve">المعدل العام         </t>
  </si>
  <si>
    <t>الأنبار</t>
  </si>
  <si>
    <t>النهر</t>
  </si>
  <si>
    <t xml:space="preserve">المعدل السنوي      </t>
  </si>
  <si>
    <t xml:space="preserve">( م³ / ثا) </t>
  </si>
  <si>
    <t xml:space="preserve">الوارد السنوي </t>
  </si>
  <si>
    <t xml:space="preserve">(مليار م³) </t>
  </si>
  <si>
    <t>ملم</t>
  </si>
  <si>
    <t>(2017-2016)</t>
  </si>
  <si>
    <t>الآبار</t>
  </si>
  <si>
    <t>محطات إنتاج  المياه المنصوبة على الآبار</t>
  </si>
  <si>
    <t xml:space="preserve">مجموع معدلات الطاقات المتاحة </t>
  </si>
  <si>
    <t xml:space="preserve">مجموع معدلات كميات المياه المنتجة </t>
  </si>
  <si>
    <t>مجموع معدلات كميات المياه الخام المسحوبة حسب المصدر  (م³/ يوم)</t>
  </si>
  <si>
    <t>مجموع معدلات كميات المياه الخام المسحوبة من الآبار والمستخدمة كمصدر للمياه الخام  (م³/ يوم)</t>
  </si>
  <si>
    <t>محطات إنتاج المياه المنصوبة على الآبار</t>
  </si>
  <si>
    <t>0/5</t>
  </si>
  <si>
    <t>سوء الأوضاع الأمنية</t>
  </si>
  <si>
    <t>مجموع معدلات كميات المياه الخام المسحوبة حسب المصدر (م³/ يوم)</t>
  </si>
  <si>
    <t>معدل كميات المياه الخام المسحوبة حسب المصدر (م³/ يوم)</t>
  </si>
  <si>
    <t xml:space="preserve">كمية المياه المسحوبة من المشاريع والمجمعات المائية لمحطات تحلية المياه (RO) (م³/ يوم) </t>
  </si>
  <si>
    <t>المجموع الكلي لكمية المياه الصالحة للشرب المنتجة (م³/ يوم)</t>
  </si>
  <si>
    <t>اسم الهور</t>
  </si>
  <si>
    <t>اسم المحافظة</t>
  </si>
  <si>
    <t>المجموع الكلي للاهوار</t>
  </si>
  <si>
    <t>نسبة الاغمار لكل هور %</t>
  </si>
  <si>
    <t>المساحة بعد الانعاش</t>
  </si>
  <si>
    <t>الاهوار الوسطى وبضمنها نهر العز</t>
  </si>
  <si>
    <t>* المجموع الكلي لكمية المياه الخام المسحوبة = مجموع الكميات المسحوبة من (المياه السطحية والمياه الجوفية)</t>
  </si>
  <si>
    <t>Plate count / 1 ml</t>
  </si>
  <si>
    <t>T.Coliform / 100 ml</t>
  </si>
  <si>
    <t>Plate count /  1 ml</t>
  </si>
  <si>
    <t>مجموع الواردات (مليار م³ / سنة)</t>
  </si>
  <si>
    <t>(2018-2017)</t>
  </si>
  <si>
    <t>عدد النماذج البكتريولوجية المفحوصة</t>
  </si>
  <si>
    <t>عدد النماذج الفاشلة</t>
  </si>
  <si>
    <t>نسبة الفشل</t>
  </si>
  <si>
    <t xml:space="preserve"> بغداد</t>
  </si>
  <si>
    <t>متوسط نصيب الفرد من المياه المجهزّة للسكان الكلي (الماء المباع) الصالحة للشرب (لتر/ يوم)</t>
  </si>
  <si>
    <t>متوسط نصيب الفرد من المياه المجهزّة للسكان المخدومين (الماء المباع) الصالحة للشرب (لتر/ يوم)</t>
  </si>
  <si>
    <t>عدد السكان الكلي *</t>
  </si>
  <si>
    <t>كمية المياه الكلية المنتجة (الماء المباع + الموزع  مجاناً) (م³/ يوم)</t>
  </si>
  <si>
    <t>كمية المياه الموّزعة مجاناً (م³/ يوم)</t>
  </si>
  <si>
    <t>المعدل السنوي</t>
  </si>
  <si>
    <t>. 5</t>
  </si>
  <si>
    <t>الخزن الحي لغاية المنافذ السفلى (مليار م³)</t>
  </si>
  <si>
    <t>مجموع الواردات عبر المغذيات</t>
  </si>
  <si>
    <t>المجموع السنوي</t>
  </si>
  <si>
    <t>مليون م³</t>
  </si>
  <si>
    <t>جدول (1)</t>
  </si>
  <si>
    <t>جدول (2)</t>
  </si>
  <si>
    <t>جدول (3)</t>
  </si>
  <si>
    <t>جدول (5)</t>
  </si>
  <si>
    <t>جدول (6)</t>
  </si>
  <si>
    <t>جدول (7)</t>
  </si>
  <si>
    <t>جدول (10)</t>
  </si>
  <si>
    <t>جدول (11)</t>
  </si>
  <si>
    <t>جدول (12)</t>
  </si>
  <si>
    <t>جدول ( 21)</t>
  </si>
  <si>
    <t>جدول (24)</t>
  </si>
  <si>
    <t>جدول (25)</t>
  </si>
  <si>
    <t>جدول (28)</t>
  </si>
  <si>
    <t>متوسط نصيب الفرد من المياه المجهزة للسكان الكلي (الماء المباع + الموّزع مجاناً) (لتر/ يوم)</t>
  </si>
  <si>
    <t>المواد العالقة الصلبة *</t>
  </si>
  <si>
    <t>الأهوار الوسطى (اهوار القرنة)</t>
  </si>
  <si>
    <t>هور الحّمار</t>
  </si>
  <si>
    <t xml:space="preserve">   الحويزة</t>
  </si>
  <si>
    <t xml:space="preserve">   الوسطى</t>
  </si>
  <si>
    <t xml:space="preserve">   الحمّار</t>
  </si>
  <si>
    <t xml:space="preserve">   المجموع</t>
  </si>
  <si>
    <t xml:space="preserve">المصدر : وزارة الصحة والبيئة - القطاع الصحي / قسم الإحصاء الصحي والحياتي </t>
  </si>
  <si>
    <t>*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</si>
  <si>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t>* *  المجموع الكلي لكمية المياه المنتجة = مجموع الكميات المنتجة من (المشاريع + المجمعات المائية + محطات تحلية المياه (RO)+ محطات إنتاج المياه المنصوبة على الأبار + المحطات العاملة بالطاقة الشمسية - كمية المياه الخام المسحوبة من المشاريع والمجمعات المائية لمحطات التحلية)</t>
  </si>
  <si>
    <t>(2019-2018)</t>
  </si>
  <si>
    <t>2018 - 2019</t>
  </si>
  <si>
    <t>المتحقق في 2019/10/1</t>
  </si>
  <si>
    <t>ــ</t>
  </si>
  <si>
    <t>الرصافة</t>
  </si>
  <si>
    <t>رافد الزاب الأعلى</t>
  </si>
  <si>
    <t>رافد نهر العظيم</t>
  </si>
  <si>
    <t xml:space="preserve">إيراد نهر الفرات في حصيبة </t>
  </si>
  <si>
    <t>زراعي</t>
  </si>
  <si>
    <t>صناعي</t>
  </si>
  <si>
    <t>بيئي</t>
  </si>
  <si>
    <t>المجموع الكلي للاستخدامات</t>
  </si>
  <si>
    <t>نوع الإستخدام</t>
  </si>
  <si>
    <t>جدول (4)</t>
  </si>
  <si>
    <t xml:space="preserve"> تم اعتماد المعدل العام بدلآ من الوسط الحسابي لوجود سنوات مفقودة في السلسلة الزمنية</t>
  </si>
  <si>
    <t>الخزين الحي (مليار م³)</t>
  </si>
  <si>
    <t>جدول (9)</t>
  </si>
  <si>
    <t>جدول (15)</t>
  </si>
  <si>
    <t>جدول ( 17)</t>
  </si>
  <si>
    <t>جدول ( 20)</t>
  </si>
  <si>
    <t>ملاحظة (1): هور الحمّار الغربي عدا كمية المياه القادمة من شط العرب</t>
  </si>
  <si>
    <t>ملاحظة (2): هور الحويزة عدا كمية المياه القادمة من الجانب الإيراني</t>
  </si>
  <si>
    <r>
      <rPr>
        <b/>
        <sz val="10"/>
        <rFont val="Arial"/>
        <family val="2"/>
      </rPr>
      <t>(</t>
    </r>
    <r>
      <rPr>
        <b/>
        <sz val="12"/>
        <rFont val="Arial"/>
        <family val="2"/>
      </rPr>
      <t>م³/ثا)</t>
    </r>
  </si>
  <si>
    <t>هور الحّمار الغربي</t>
  </si>
  <si>
    <t xml:space="preserve">معدل التصريف </t>
  </si>
  <si>
    <t>معدل التصريف</t>
  </si>
  <si>
    <t xml:space="preserve">مياه المبازل التي تصب في الانهر </t>
  </si>
  <si>
    <t>جدول (8)</t>
  </si>
  <si>
    <t>جدول (23)</t>
  </si>
  <si>
    <t xml:space="preserve">الإستهلاكات أعلاه غير دقيقة  للأسباب التالية : </t>
  </si>
  <si>
    <t xml:space="preserve">لم تؤخذ الضائعات المائية الناتجة عن جريان المياه والنتح والتبخر الناتج عن إرتفاع درجات الحرارة صيفاً بنظر الاعتبار </t>
  </si>
  <si>
    <t xml:space="preserve">هطول الامطار و ورود الموجات الفيضانية والسيول من دول الجوار </t>
  </si>
  <si>
    <t xml:space="preserve">المعدل </t>
  </si>
  <si>
    <t>نصيب الفرد من الواردات (م³ / سنة)</t>
  </si>
  <si>
    <t>محافظة</t>
  </si>
  <si>
    <t>الواردات المائية لنهر دجلة وروافده ونهر الفرات للسنة المائية (2019-2020) حسب الأشهر</t>
  </si>
  <si>
    <t>(2020-2019)</t>
  </si>
  <si>
    <t>نصيب الفرد من واردات نهر دجلة وروافده ونهر الفرات للسنوات المائية من (2009 ـــ 2010) الى (2019 ـــ 2020)</t>
  </si>
  <si>
    <t>معدل التصاريف المجهّزة للأحواض لمختلف الأغراض خلال السنة المائية (2019-2020) مقارنة مع السنة المائية (2018-2019) حسب الأشهر</t>
  </si>
  <si>
    <t xml:space="preserve">كمية الأمطار الساقطة لمواقع منتخبة ومقارنتها بالمعدل العام خلال السنة المائية (2019-2020) حسب الأشهر </t>
  </si>
  <si>
    <t>كمية التبخر من السدود والخزانات حسب الأشهر للسنة المائية (2019-2020)</t>
  </si>
  <si>
    <t xml:space="preserve">مناسيب الخزن المتحققة في السدود والبحيرات (الخزانات) بتاريخ 2020/10/1 مقارنة مع نفس التاريخ لسنة 2019 </t>
  </si>
  <si>
    <t>عدد ونسبة مشاريع المياه حسب الطاقات التصميمية والمتاحة والمنتجة والمياه الخام المسحوبة وحسب المحافظة لسنة 2020</t>
  </si>
  <si>
    <t>عدد ونسبة المجمعات المائية حسب الطاقات التصميمية والمتاحة والمنتجة والمياه الخام المسحوبة وحسب المحافظة لسنة 2020</t>
  </si>
  <si>
    <t>عدد ونسبة محطات تحلية المياه (RO) حسب الطاقات التصميمية والمتاحة والمنتجة والمياه الخام المسحوبة وحسب المحافظة لسنة 2020</t>
  </si>
  <si>
    <t>عدد ونسبة الآبار ومحطات إنتاج المياه المنصوبة على الآبار حسب الطاقات التصميمية والمتاحة والمنتجة والمياه الخام المسحوبة وحسب المحافظة لسنة 2020</t>
  </si>
  <si>
    <t xml:space="preserve">   عدد ونسبة المحطات العاملة بالطاقة الشمسية حسب الطاقات التصميمية والمتاحة والمنتجة والمياه الخام المسحوبة وحسب المحافظة لسنة 2020</t>
  </si>
  <si>
    <t xml:space="preserve">عدد محطات إنتاج المياه الصالحة للشرب حسب النوع والحالة العملية وحسب المحافظة لسنة 2020 </t>
  </si>
  <si>
    <t xml:space="preserve">معدل كميات المياه المنتجة من محطات إنتاج المياه ونسبها المئوية حسب النوع والمحافظة لسنة 2020 </t>
  </si>
  <si>
    <t>كمية المياه الخام الكلية والمنتجة ونسبة ومعدل كميات المياه المفقودة أثناء النقل بشبكة توزيع المياه وكمية المياه الموزّعة مجاناً والمباعة حسب المحافظة لسنة 2020</t>
  </si>
  <si>
    <t xml:space="preserve">عدد ونسبة السكان المخدومين بشبكات توزيع المياه الصالحة للشرب حسب البيئة والمحافظة لسنة 2020 </t>
  </si>
  <si>
    <t>عدد السكان الكلي ومعدل كميات المياه الصالحة للشرب المجهزة للسكان ومتوسط نصيب الفرد منها حسب البيئة والمحافظة لسنة 2020</t>
  </si>
  <si>
    <t>عدد السكان الكلي وعدد السكان المخدومين بشبكات توزيع المياه الصالحة للشرب ومتوسط نصيب الفرد من المياه المجهزّة للسكان الكلي و السكان المخدومين حسب البيئة والمحافظة لسنة 2020</t>
  </si>
  <si>
    <t>عدد السكان الكلي والحاجة التقديرية لكمية المياه الصالحة للشرب حسب البيئة والمحافظة لسنة 2020</t>
  </si>
  <si>
    <t>النسب المئوية لأهم المشاكل التي يعاني منها قطاع المياه في المحافظات لسنة 2020</t>
  </si>
  <si>
    <t>الحدود الدنيا والعليا ومعدل الفحوصات البكتريولوجية لماء نهر دجلة عند مآخذ مشاريع دائرة ماء بغداد لسنة 2020</t>
  </si>
  <si>
    <t xml:space="preserve">   الحدود الدنيا والعليا والمعدل لنتائج الفحوصات الكيمياوية والفيزياوية لماء النهر والشرب لمشاريع دائرة ماء بغداد لسنة 2020</t>
  </si>
  <si>
    <t xml:space="preserve"> الحدود الدنيا والعليا والمعدل لنتائج الفحوصات الكيمياوية والفيزياوية للماء الخام والشرب حسب المحافظة لسنة 2020 </t>
  </si>
  <si>
    <t>المعدل الشهري للتصاريف الداخلة للأهوار لسنة 2020</t>
  </si>
  <si>
    <t xml:space="preserve"> البصرة</t>
  </si>
  <si>
    <t>الأنبار ، بابل ، واسط ، صلاح الدين ، القادسية ، المثنى ، ذي قار ، ميسان ، البصرة</t>
  </si>
  <si>
    <t xml:space="preserve"> أطراف بغداد ، بابل ، القادسية ، ذي قار ، البصرة</t>
  </si>
  <si>
    <t>ديالى ، أطراف بغداد ، بابل ، واسط ، النجف ،القادسية ، المثنى ، ذي قار ، ميسان ، البصرة</t>
  </si>
  <si>
    <t xml:space="preserve"> أطراف بغداد ، بابل ، كربلاء ، النجف ، ذي قار ، ميسان ، البصرة</t>
  </si>
  <si>
    <t xml:space="preserve">معدل كميات المياه الخام المسحوبة من المياه السطحية والجوفية لمحطات إنتاج المياه ونسبها المئوية وكمية المياه المسحوبة من المشاريع والمجمعات المائية لمحطات تحلية المياه حسب النوع والمحافظة لسنة 2020 </t>
  </si>
  <si>
    <t>معدل كميات المياه الخام المسحوبة لمحطات أنتاج    المياه (م³/ يوم)  *</t>
  </si>
  <si>
    <t>معدل كميات المياه المنتجة من محطات أنتاج المياه (م³/ يوم) **</t>
  </si>
  <si>
    <t>معدل كميات المياه المفقودة (الضياعات) أثناء النقل بشبكة توزيع المياه  (م³/ يوم)</t>
  </si>
  <si>
    <t>معدل كمية المياه الموزّعة مجاناً (م³/ يوم)</t>
  </si>
  <si>
    <t>معدل كمية المياه المجهزة (الماء المباع) الصالحة للشرب (م³/ يوم)</t>
  </si>
  <si>
    <t>نينوى ، كركوك ، ديالى ، أطراف بغداد ، بابل ، كربلاء ، واسط ، صلاح الدين ، القادسية ، المثنى ، ذي قار ، البصرة</t>
  </si>
  <si>
    <t>الأنبار ، أطراف بغداد ،بابل ، واسط ، صلاح الدين ، القادسية ، المثنى ، ذي قار ، ميسان ، البصرة</t>
  </si>
  <si>
    <t xml:space="preserve">نينوى ، كركوك ، ديالى ، الأنبار ، بابل ، كربلاء ، واسط ، صلاح الدين ، القادسية ، المثنى ، ذي قار ، ميسان </t>
  </si>
  <si>
    <t>ديالى ، الأنبار ، أمانة بغداد ، بابل ، القادسية ، المثنى ، ذي قار ، ميسان ، البصرة</t>
  </si>
  <si>
    <t>* عدد السكان حسب تقديرات الجهاز المركزي للاحصاء .</t>
  </si>
  <si>
    <t>2019 - 2020</t>
  </si>
  <si>
    <t xml:space="preserve">         المجموع الشهري لكمية الأمطار الساقطة خلال السنة المائية 2019-2020</t>
  </si>
  <si>
    <t>المتحقق في 2020/10/1</t>
  </si>
  <si>
    <t>كمية المياه المطروحة في البحيرات والخزانات حسب الأشهر للسنة المائية (2019-2020)</t>
  </si>
  <si>
    <t>جدول (13)</t>
  </si>
  <si>
    <t>جدول ( 14)</t>
  </si>
  <si>
    <t>جدول (16)</t>
  </si>
  <si>
    <t>جدول ( 18)</t>
  </si>
  <si>
    <t>جدول (19)</t>
  </si>
  <si>
    <t>جدول ( 22)</t>
  </si>
  <si>
    <t>جدول (26)</t>
  </si>
  <si>
    <t>تابع / جدول (26)</t>
  </si>
  <si>
    <t xml:space="preserve"> جدول (27)</t>
  </si>
  <si>
    <t xml:space="preserve"> تابع / جدول (27)</t>
  </si>
  <si>
    <t>جدول (29)</t>
  </si>
  <si>
    <t>جدول ( 30)</t>
  </si>
  <si>
    <r>
      <t>الكمية م</t>
    </r>
    <r>
      <rPr>
        <b/>
        <sz val="8"/>
        <color theme="1"/>
        <rFont val="Arial"/>
        <family val="2"/>
      </rPr>
      <t>3</t>
    </r>
  </si>
  <si>
    <t>بحيرة الرزازة</t>
  </si>
  <si>
    <r>
      <t>0.01</t>
    </r>
    <r>
      <rPr>
        <b/>
        <sz val="10"/>
        <rFont val="Calibri"/>
        <family val="2"/>
      </rPr>
      <t>&gt;</t>
    </r>
  </si>
  <si>
    <r>
      <t>0.02</t>
    </r>
    <r>
      <rPr>
        <b/>
        <sz val="10"/>
        <rFont val="Calibri"/>
        <family val="2"/>
      </rPr>
      <t>&gt;</t>
    </r>
  </si>
  <si>
    <t>&lt;0.05</t>
  </si>
  <si>
    <t>الأنبار ، واسط ، صلاح الدين</t>
  </si>
  <si>
    <t>الأنبار ، أطراف بغداد ، صلاح الدين ، ذي قار ، البصرة</t>
  </si>
  <si>
    <t>موقف الإغمار للأهوار حسب المحافظة لسنة 2020</t>
  </si>
  <si>
    <t>كمية المياه الداخلة الى الأهوار لسنة 2020</t>
  </si>
  <si>
    <t>كمية المياه الداخلة الى الأهوار</t>
  </si>
  <si>
    <r>
      <rPr>
        <b/>
        <sz val="10"/>
        <rFont val="Arial"/>
        <family val="2"/>
      </rPr>
      <t xml:space="preserve">(مليون </t>
    </r>
    <r>
      <rPr>
        <b/>
        <sz val="12"/>
        <rFont val="Arial"/>
        <family val="2"/>
      </rPr>
      <t>م</t>
    </r>
    <r>
      <rPr>
        <b/>
        <sz val="11"/>
        <rFont val="Arial"/>
        <family val="2"/>
      </rPr>
      <t>³</t>
    </r>
    <r>
      <rPr>
        <b/>
        <sz val="12"/>
        <rFont val="Arial"/>
        <family val="2"/>
      </rPr>
      <t>)</t>
    </r>
  </si>
  <si>
    <t>جميع المحافظات</t>
  </si>
  <si>
    <t>جميع المحافظات عدا القادسية</t>
  </si>
  <si>
    <t xml:space="preserve">جميع المحافظات عدا كركوك ، ديالى ، صلاح الدين </t>
  </si>
  <si>
    <t>السنة المائية (2019-2020) هي سنة فيضانية  لحوض الفرات</t>
  </si>
  <si>
    <t>السدود والخزانات</t>
  </si>
  <si>
    <t>الأشهر م³/ ثا</t>
  </si>
  <si>
    <t>المجموع السنوي مليار م³</t>
  </si>
  <si>
    <t>عدد النماذج البكتريولوجية المفحوصة والفاشلة لمياه الشرب ونسبتها المئوية حسب المحافظة لسنة 2020</t>
  </si>
  <si>
    <r>
      <t>Total Hardness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</t>
    </r>
  </si>
  <si>
    <t xml:space="preserve">المساحة قبل التجفيف عام 1973 </t>
  </si>
  <si>
    <t>(كم²)</t>
  </si>
  <si>
    <t xml:space="preserve">المستبعدة من الاغمار </t>
  </si>
  <si>
    <t xml:space="preserve">غير المغمورة </t>
  </si>
  <si>
    <t xml:space="preserve">المغمورة حاليآ </t>
  </si>
  <si>
    <t xml:space="preserve">مجموع المساحة المؤهلة للإغمار </t>
  </si>
  <si>
    <t>كميات المياه المجهزّة للإستخدامات (الزراعية، المنزلية، الصناعية والبيئية) للسنة المائية (2019-2020) والنسبة المئوية للإستخدامات حسب المحافظة</t>
  </si>
  <si>
    <t>التوزيع النسبي لكمية المياه الصالحة للشرب المنتجة والموّزعة حسب القطاع والمحافظة لسنة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</si>
</sst>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_);_(* \(#,##0\);_(* &quot;-&quot;??_);_(@_)"/>
    <numFmt numFmtId="167" formatCode="_(* #,##0.0_);_(* \(#,##0.0\);_(* &quot;-&quot;??_);_(@_)"/>
    <numFmt numFmtId="168" formatCode="#,##0.0"/>
    <numFmt numFmtId="169" formatCode="_-* #,##0_-;\-* #,##0_-;_-* &quot;-&quot;??_-;_-@_-"/>
    <numFmt numFmtId="170" formatCode="_-* #,##0.0_-;\-* #,##0.0_-;_-* &quot;-&quot;??_-;_-@_-"/>
    <numFmt numFmtId="171" formatCode="#,##0.000"/>
    <numFmt numFmtId="172" formatCode="#,##0.0000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0"/>
      <name val="Simplified Arabic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Simplified Arabic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color indexed="8"/>
      <name val="Simplified Arabic"/>
      <family val="1"/>
    </font>
    <font>
      <sz val="11"/>
      <color indexed="8"/>
      <name val="Arial"/>
      <family val="2"/>
    </font>
    <font>
      <b/>
      <sz val="10"/>
      <color indexed="8"/>
      <name val="Simplified Arabic"/>
      <family val="1"/>
    </font>
    <font>
      <sz val="10"/>
      <color indexed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Simplified Arabic"/>
      <family val="1"/>
    </font>
    <font>
      <b/>
      <sz val="10"/>
      <color indexed="8"/>
      <name val="Cambria"/>
      <family val="1"/>
      <scheme val="major"/>
    </font>
    <font>
      <b/>
      <vertAlign val="superscript"/>
      <sz val="10"/>
      <name val="Arial"/>
      <family val="2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9"/>
      <color indexed="8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trike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implified Arabic"/>
      <family val="1"/>
    </font>
    <font>
      <b/>
      <sz val="8"/>
      <color theme="1"/>
      <name val="Arial"/>
      <family val="2"/>
    </font>
    <font>
      <b/>
      <sz val="9"/>
      <color indexed="8"/>
      <name val="Times New Roman"/>
      <family val="1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9" fillId="0" borderId="0"/>
    <xf numFmtId="0" fontId="19" fillId="0" borderId="0"/>
  </cellStyleXfs>
  <cellXfs count="908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11" fillId="0" borderId="13" xfId="0" applyFont="1" applyBorder="1" applyAlignment="1">
      <alignment horizontal="center" vertical="center"/>
    </xf>
    <xf numFmtId="0" fontId="0" fillId="0" borderId="8" xfId="0" applyBorder="1"/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2" fillId="5" borderId="8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5" borderId="0" xfId="0" applyFill="1"/>
    <xf numFmtId="0" fontId="5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right" vertical="center" wrapText="1"/>
    </xf>
    <xf numFmtId="0" fontId="0" fillId="0" borderId="16" xfId="0" applyBorder="1"/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2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0" borderId="11" xfId="0" applyFont="1" applyBorder="1" applyAlignment="1">
      <alignment horizontal="right" vertical="center" readingOrder="2"/>
    </xf>
    <xf numFmtId="43" fontId="11" fillId="0" borderId="2" xfId="1" applyFont="1" applyBorder="1" applyAlignment="1">
      <alignment horizontal="right" vertical="center"/>
    </xf>
    <xf numFmtId="43" fontId="11" fillId="0" borderId="11" xfId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166" fontId="7" fillId="5" borderId="10" xfId="1" applyNumberFormat="1" applyFont="1" applyFill="1" applyBorder="1" applyAlignment="1">
      <alignment horizontal="right" vertical="center" wrapText="1"/>
    </xf>
    <xf numFmtId="166" fontId="7" fillId="5" borderId="2" xfId="1" applyNumberFormat="1" applyFont="1" applyFill="1" applyBorder="1" applyAlignment="1">
      <alignment horizontal="right" vertical="center" wrapText="1"/>
    </xf>
    <xf numFmtId="166" fontId="7" fillId="5" borderId="11" xfId="1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horizontal="right" vertical="center" readingOrder="2"/>
    </xf>
    <xf numFmtId="166" fontId="11" fillId="0" borderId="11" xfId="1" applyNumberFormat="1" applyFont="1" applyBorder="1" applyAlignment="1">
      <alignment horizontal="right" vertical="center" readingOrder="2"/>
    </xf>
    <xf numFmtId="0" fontId="25" fillId="0" borderId="5" xfId="0" applyFont="1" applyBorder="1" applyAlignment="1">
      <alignment horizontal="right" vertic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readingOrder="2"/>
    </xf>
    <xf numFmtId="43" fontId="11" fillId="0" borderId="0" xfId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right" vertical="center" readingOrder="2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7" fillId="5" borderId="10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0" fillId="0" borderId="0" xfId="0" applyFont="1"/>
    <xf numFmtId="0" fontId="6" fillId="0" borderId="5" xfId="0" applyFont="1" applyFill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11" xfId="0" applyNumberFormat="1" applyFont="1" applyBorder="1" applyAlignment="1">
      <alignment vertical="center"/>
    </xf>
    <xf numFmtId="166" fontId="7" fillId="5" borderId="3" xfId="1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 vertical="center" wrapText="1" readingOrder="2"/>
    </xf>
    <xf numFmtId="3" fontId="7" fillId="5" borderId="2" xfId="0" applyNumberFormat="1" applyFont="1" applyFill="1" applyBorder="1" applyAlignment="1">
      <alignment vertical="center" wrapText="1" readingOrder="2"/>
    </xf>
    <xf numFmtId="3" fontId="7" fillId="5" borderId="0" xfId="0" applyNumberFormat="1" applyFont="1" applyFill="1" applyBorder="1" applyAlignment="1">
      <alignment vertical="center" wrapText="1" readingOrder="2"/>
    </xf>
    <xf numFmtId="3" fontId="7" fillId="5" borderId="1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3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8" fontId="7" fillId="5" borderId="2" xfId="0" applyNumberFormat="1" applyFont="1" applyFill="1" applyBorder="1" applyAlignment="1">
      <alignment vertical="center" wrapText="1" readingOrder="2"/>
    </xf>
    <xf numFmtId="4" fontId="7" fillId="5" borderId="2" xfId="0" applyNumberFormat="1" applyFont="1" applyFill="1" applyBorder="1" applyAlignment="1">
      <alignment vertical="center" wrapText="1" readingOrder="2"/>
    </xf>
    <xf numFmtId="4" fontId="7" fillId="5" borderId="11" xfId="0" applyNumberFormat="1" applyFont="1" applyFill="1" applyBorder="1" applyAlignment="1">
      <alignment vertical="center" wrapText="1" readingOrder="2"/>
    </xf>
    <xf numFmtId="3" fontId="7" fillId="0" borderId="0" xfId="0" applyNumberFormat="1" applyFont="1" applyBorder="1" applyAlignment="1">
      <alignment horizontal="right" vertical="center"/>
    </xf>
    <xf numFmtId="0" fontId="12" fillId="5" borderId="0" xfId="0" applyFont="1" applyFill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166" fontId="7" fillId="0" borderId="0" xfId="1" applyNumberFormat="1" applyFont="1" applyBorder="1" applyAlignment="1">
      <alignment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vertical="center" wrapText="1" readingOrder="2"/>
    </xf>
    <xf numFmtId="0" fontId="6" fillId="6" borderId="7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right" vertical="center" wrapText="1"/>
    </xf>
    <xf numFmtId="0" fontId="7" fillId="7" borderId="13" xfId="0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vertical="center" wrapText="1" readingOrder="2"/>
    </xf>
    <xf numFmtId="0" fontId="7" fillId="7" borderId="2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righ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vertical="center" wrapText="1"/>
    </xf>
    <xf numFmtId="0" fontId="7" fillId="7" borderId="4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68" fontId="7" fillId="0" borderId="10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168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vertical="center" wrapText="1"/>
    </xf>
    <xf numFmtId="168" fontId="7" fillId="0" borderId="12" xfId="0" applyNumberFormat="1" applyFont="1" applyFill="1" applyBorder="1" applyAlignment="1">
      <alignment vertical="center" wrapText="1"/>
    </xf>
    <xf numFmtId="168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168" fontId="7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8" fillId="7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6" fontId="7" fillId="0" borderId="10" xfId="1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7" fillId="0" borderId="2" xfId="1" applyNumberFormat="1" applyFont="1" applyBorder="1" applyAlignment="1">
      <alignment horizontal="right" vertical="center"/>
    </xf>
    <xf numFmtId="166" fontId="7" fillId="0" borderId="3" xfId="1" applyNumberFormat="1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right" vertical="center" wrapText="1" readingOrder="1"/>
    </xf>
    <xf numFmtId="0" fontId="12" fillId="0" borderId="0" xfId="0" applyFont="1" applyFill="1" applyAlignment="1">
      <alignment horizontal="right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5" fillId="0" borderId="12" xfId="2" applyFont="1" applyBorder="1" applyAlignment="1">
      <alignment horizontal="right" vertical="center" wrapText="1"/>
    </xf>
    <xf numFmtId="0" fontId="19" fillId="0" borderId="0" xfId="2"/>
    <xf numFmtId="0" fontId="15" fillId="3" borderId="2" xfId="2" applyFont="1" applyFill="1" applyBorder="1" applyAlignment="1">
      <alignment horizontal="right" vertical="center" wrapText="1"/>
    </xf>
    <xf numFmtId="0" fontId="19" fillId="0" borderId="0" xfId="2" applyBorder="1"/>
    <xf numFmtId="165" fontId="19" fillId="0" borderId="0" xfId="2" applyNumberFormat="1" applyBorder="1" applyAlignment="1"/>
    <xf numFmtId="0" fontId="15" fillId="0" borderId="2" xfId="2" applyFont="1" applyBorder="1" applyAlignment="1">
      <alignment horizontal="right" vertical="center" wrapText="1"/>
    </xf>
    <xf numFmtId="3" fontId="17" fillId="0" borderId="3" xfId="3" applyNumberFormat="1" applyFont="1" applyFill="1" applyBorder="1" applyAlignment="1">
      <alignment vertical="center" wrapText="1"/>
    </xf>
    <xf numFmtId="0" fontId="19" fillId="0" borderId="2" xfId="2" applyBorder="1"/>
    <xf numFmtId="0" fontId="15" fillId="0" borderId="2" xfId="2" applyFont="1" applyFill="1" applyBorder="1" applyAlignment="1">
      <alignment horizontal="right" vertical="center" wrapText="1"/>
    </xf>
    <xf numFmtId="0" fontId="17" fillId="0" borderId="2" xfId="3" applyFont="1" applyFill="1" applyBorder="1" applyAlignment="1">
      <alignment vertical="center" wrapText="1"/>
    </xf>
    <xf numFmtId="3" fontId="17" fillId="0" borderId="2" xfId="3" applyNumberFormat="1" applyFont="1" applyFill="1" applyBorder="1" applyAlignment="1">
      <alignment vertical="center" wrapText="1"/>
    </xf>
    <xf numFmtId="0" fontId="15" fillId="0" borderId="3" xfId="2" applyFont="1" applyFill="1" applyBorder="1" applyAlignment="1">
      <alignment horizontal="right" vertical="center" wrapText="1"/>
    </xf>
    <xf numFmtId="1" fontId="17" fillId="3" borderId="0" xfId="2" applyNumberFormat="1" applyFont="1" applyFill="1" applyBorder="1" applyAlignment="1">
      <alignment horizontal="center" vertical="center"/>
    </xf>
    <xf numFmtId="1" fontId="17" fillId="8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1" fontId="17" fillId="0" borderId="0" xfId="3" applyNumberFormat="1" applyFont="1" applyFill="1" applyBorder="1" applyAlignment="1">
      <alignment horizontal="center" vertical="center" wrapText="1"/>
    </xf>
    <xf numFmtId="165" fontId="17" fillId="0" borderId="0" xfId="2" applyNumberFormat="1" applyFont="1" applyFill="1" applyBorder="1" applyAlignment="1">
      <alignment horizontal="center" vertical="center" wrapText="1"/>
    </xf>
    <xf numFmtId="1" fontId="17" fillId="0" borderId="0" xfId="2" applyNumberFormat="1" applyFont="1" applyFill="1" applyBorder="1" applyAlignment="1">
      <alignment horizontal="center" vertical="center"/>
    </xf>
    <xf numFmtId="0" fontId="0" fillId="0" borderId="17" xfId="0" applyBorder="1"/>
    <xf numFmtId="0" fontId="4" fillId="7" borderId="13" xfId="0" applyFont="1" applyFill="1" applyBorder="1" applyAlignment="1">
      <alignment horizontal="right" vertical="center" wrapText="1"/>
    </xf>
    <xf numFmtId="0" fontId="15" fillId="7" borderId="15" xfId="2" applyFont="1" applyFill="1" applyBorder="1" applyAlignment="1">
      <alignment horizontal="right" vertical="center"/>
    </xf>
    <xf numFmtId="1" fontId="17" fillId="7" borderId="15" xfId="3" applyNumberFormat="1" applyFont="1" applyFill="1" applyBorder="1" applyAlignment="1">
      <alignment vertical="center" wrapText="1"/>
    </xf>
    <xf numFmtId="3" fontId="17" fillId="7" borderId="15" xfId="2" applyNumberFormat="1" applyFont="1" applyFill="1" applyBorder="1" applyAlignment="1">
      <alignment vertical="center" wrapText="1"/>
    </xf>
    <xf numFmtId="3" fontId="17" fillId="7" borderId="15" xfId="3" applyNumberFormat="1" applyFont="1" applyFill="1" applyBorder="1" applyAlignment="1">
      <alignment vertical="center" wrapText="1"/>
    </xf>
    <xf numFmtId="0" fontId="15" fillId="7" borderId="13" xfId="0" applyFont="1" applyFill="1" applyBorder="1" applyAlignment="1">
      <alignment horizontal="right" vertical="center" wrapText="1"/>
    </xf>
    <xf numFmtId="1" fontId="20" fillId="0" borderId="0" xfId="3" applyNumberFormat="1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right" vertical="center" wrapText="1"/>
    </xf>
    <xf numFmtId="165" fontId="17" fillId="7" borderId="15" xfId="2" applyNumberFormat="1" applyFont="1" applyFill="1" applyBorder="1" applyAlignment="1">
      <alignment vertical="center" wrapText="1"/>
    </xf>
    <xf numFmtId="168" fontId="17" fillId="7" borderId="15" xfId="2" applyNumberFormat="1" applyFont="1" applyFill="1" applyBorder="1" applyAlignment="1">
      <alignment vertical="center" wrapText="1"/>
    </xf>
    <xf numFmtId="0" fontId="37" fillId="0" borderId="0" xfId="2" applyFont="1"/>
    <xf numFmtId="0" fontId="37" fillId="0" borderId="0" xfId="2" applyFont="1" applyBorder="1"/>
    <xf numFmtId="165" fontId="37" fillId="0" borderId="0" xfId="2" applyNumberFormat="1" applyFont="1" applyBorder="1" applyAlignment="1"/>
    <xf numFmtId="0" fontId="35" fillId="0" borderId="2" xfId="2" applyFont="1" applyFill="1" applyBorder="1" applyAlignment="1">
      <alignment horizontal="right" vertical="center" wrapText="1"/>
    </xf>
    <xf numFmtId="1" fontId="35" fillId="3" borderId="0" xfId="2" applyNumberFormat="1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33" fillId="0" borderId="8" xfId="2" applyFont="1" applyBorder="1" applyAlignment="1">
      <alignment vertical="center" readingOrder="2"/>
    </xf>
    <xf numFmtId="0" fontId="26" fillId="0" borderId="8" xfId="2" applyFont="1" applyBorder="1" applyAlignment="1">
      <alignment vertical="center" readingOrder="2"/>
    </xf>
    <xf numFmtId="3" fontId="17" fillId="0" borderId="2" xfId="3" applyNumberFormat="1" applyFont="1" applyFill="1" applyBorder="1" applyAlignment="1">
      <alignment vertical="center" wrapText="1" readingOrder="2"/>
    </xf>
    <xf numFmtId="0" fontId="15" fillId="0" borderId="2" xfId="2" applyFont="1" applyFill="1" applyBorder="1" applyAlignment="1">
      <alignment vertical="center" wrapText="1" readingOrder="2"/>
    </xf>
    <xf numFmtId="3" fontId="17" fillId="7" borderId="15" xfId="3" applyNumberFormat="1" applyFont="1" applyFill="1" applyBorder="1" applyAlignment="1">
      <alignment vertical="center" wrapText="1" readingOrder="2"/>
    </xf>
    <xf numFmtId="0" fontId="8" fillId="6" borderId="13" xfId="0" applyFont="1" applyFill="1" applyBorder="1" applyAlignment="1">
      <alignment vertical="center" wrapText="1" readingOrder="2"/>
    </xf>
    <xf numFmtId="0" fontId="15" fillId="0" borderId="17" xfId="0" applyFont="1" applyBorder="1" applyAlignment="1">
      <alignment vertical="center" wrapText="1" readingOrder="2"/>
    </xf>
    <xf numFmtId="166" fontId="17" fillId="7" borderId="15" xfId="1" applyNumberFormat="1" applyFont="1" applyFill="1" applyBorder="1" applyAlignment="1">
      <alignment vertical="center" wrapText="1"/>
    </xf>
    <xf numFmtId="1" fontId="17" fillId="0" borderId="2" xfId="3" applyNumberFormat="1" applyFont="1" applyFill="1" applyBorder="1" applyAlignment="1">
      <alignment vertical="center" wrapText="1"/>
    </xf>
    <xf numFmtId="0" fontId="33" fillId="3" borderId="0" xfId="2" applyFont="1" applyFill="1" applyAlignment="1">
      <alignment vertical="center"/>
    </xf>
    <xf numFmtId="0" fontId="26" fillId="3" borderId="0" xfId="2" applyFont="1" applyFill="1" applyAlignment="1">
      <alignment vertical="center"/>
    </xf>
    <xf numFmtId="0" fontId="18" fillId="0" borderId="0" xfId="2" applyFont="1" applyFill="1" applyBorder="1" applyAlignment="1">
      <alignment horizontal="center" vertical="center" wrapText="1"/>
    </xf>
    <xf numFmtId="0" fontId="8" fillId="7" borderId="13" xfId="2" applyFont="1" applyFill="1" applyBorder="1" applyAlignment="1">
      <alignment horizontal="right" vertical="center" wrapText="1"/>
    </xf>
    <xf numFmtId="0" fontId="19" fillId="0" borderId="0" xfId="3"/>
    <xf numFmtId="0" fontId="19" fillId="0" borderId="0" xfId="3" applyBorder="1"/>
    <xf numFmtId="0" fontId="19" fillId="0" borderId="17" xfId="3" applyBorder="1"/>
    <xf numFmtId="0" fontId="8" fillId="7" borderId="13" xfId="3" applyFont="1" applyFill="1" applyBorder="1" applyAlignment="1">
      <alignment horizontal="right" vertical="center" wrapText="1"/>
    </xf>
    <xf numFmtId="0" fontId="8" fillId="7" borderId="13" xfId="3" applyFont="1" applyFill="1" applyBorder="1" applyAlignment="1">
      <alignment horizontal="right" vertical="center"/>
    </xf>
    <xf numFmtId="0" fontId="19" fillId="0" borderId="2" xfId="2" applyFill="1" applyBorder="1"/>
    <xf numFmtId="0" fontId="19" fillId="0" borderId="0" xfId="2" applyFill="1"/>
    <xf numFmtId="0" fontId="17" fillId="0" borderId="2" xfId="2" applyFont="1" applyFill="1" applyBorder="1" applyAlignment="1">
      <alignment horizontal="right" vertical="center" wrapText="1"/>
    </xf>
    <xf numFmtId="0" fontId="21" fillId="0" borderId="17" xfId="2" applyFont="1" applyBorder="1"/>
    <xf numFmtId="0" fontId="17" fillId="7" borderId="15" xfId="2" applyFont="1" applyFill="1" applyBorder="1" applyAlignment="1">
      <alignment horizontal="right" vertical="center"/>
    </xf>
    <xf numFmtId="3" fontId="17" fillId="7" borderId="15" xfId="2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165" fontId="7" fillId="0" borderId="10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3" fontId="7" fillId="0" borderId="10" xfId="1" applyNumberFormat="1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 readingOrder="2"/>
    </xf>
    <xf numFmtId="166" fontId="17" fillId="0" borderId="2" xfId="1" applyNumberFormat="1" applyFont="1" applyFill="1" applyBorder="1" applyAlignment="1">
      <alignment vertical="center" wrapText="1" readingOrder="2"/>
    </xf>
    <xf numFmtId="166" fontId="17" fillId="7" borderId="15" xfId="1" applyNumberFormat="1" applyFont="1" applyFill="1" applyBorder="1" applyAlignment="1">
      <alignment vertical="center" wrapText="1" readingOrder="2"/>
    </xf>
    <xf numFmtId="0" fontId="4" fillId="6" borderId="7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 readingOrder="2"/>
    </xf>
    <xf numFmtId="0" fontId="4" fillId="6" borderId="14" xfId="2" applyFont="1" applyFill="1" applyBorder="1" applyAlignment="1">
      <alignment horizontal="center" vertical="center" wrapText="1" readingOrder="2"/>
    </xf>
    <xf numFmtId="0" fontId="18" fillId="0" borderId="0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3" fontId="17" fillId="0" borderId="17" xfId="3" applyNumberFormat="1" applyFont="1" applyBorder="1" applyAlignment="1">
      <alignment horizontal="center" vertical="center" wrapText="1"/>
    </xf>
    <xf numFmtId="0" fontId="26" fillId="0" borderId="17" xfId="2" applyFont="1" applyBorder="1" applyAlignment="1">
      <alignment horizontal="center" vertical="center" readingOrder="2"/>
    </xf>
    <xf numFmtId="0" fontId="26" fillId="0" borderId="17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 readingOrder="2"/>
    </xf>
    <xf numFmtId="0" fontId="4" fillId="6" borderId="9" xfId="2" applyFont="1" applyFill="1" applyBorder="1" applyAlignment="1">
      <alignment horizontal="center" vertical="center" wrapText="1" readingOrder="2"/>
    </xf>
    <xf numFmtId="0" fontId="8" fillId="6" borderId="13" xfId="3" applyFont="1" applyFill="1" applyBorder="1" applyAlignment="1">
      <alignment horizontal="right" vertical="center"/>
    </xf>
    <xf numFmtId="0" fontId="4" fillId="6" borderId="9" xfId="3" applyFont="1" applyFill="1" applyBorder="1" applyAlignment="1">
      <alignment vertical="center" wrapText="1"/>
    </xf>
    <xf numFmtId="0" fontId="4" fillId="6" borderId="9" xfId="2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8" fillId="7" borderId="6" xfId="0" applyFont="1" applyFill="1" applyBorder="1" applyAlignment="1">
      <alignment horizontal="right" vertical="center" wrapText="1"/>
    </xf>
    <xf numFmtId="166" fontId="7" fillId="7" borderId="6" xfId="1" applyNumberFormat="1" applyFont="1" applyFill="1" applyBorder="1" applyAlignment="1">
      <alignment horizontal="right" vertical="center"/>
    </xf>
    <xf numFmtId="0" fontId="0" fillId="6" borderId="9" xfId="0" applyFill="1" applyBorder="1"/>
    <xf numFmtId="0" fontId="0" fillId="6" borderId="13" xfId="0" applyFill="1" applyBorder="1"/>
    <xf numFmtId="0" fontId="42" fillId="0" borderId="17" xfId="2" applyFont="1" applyBorder="1" applyAlignment="1">
      <alignment horizontal="center" vertical="center" readingOrder="2"/>
    </xf>
    <xf numFmtId="0" fontId="4" fillId="7" borderId="7" xfId="0" applyFont="1" applyFill="1" applyBorder="1" applyAlignment="1">
      <alignment horizontal="right" vertical="center" wrapText="1" readingOrder="2"/>
    </xf>
    <xf numFmtId="0" fontId="43" fillId="7" borderId="13" xfId="0" applyFont="1" applyFill="1" applyBorder="1" applyAlignment="1">
      <alignment horizontal="right" vertical="center" wrapText="1" readingOrder="2"/>
    </xf>
    <xf numFmtId="0" fontId="11" fillId="0" borderId="5" xfId="0" applyFont="1" applyFill="1" applyBorder="1" applyAlignment="1">
      <alignment vertical="center"/>
    </xf>
    <xf numFmtId="0" fontId="42" fillId="0" borderId="17" xfId="3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 readingOrder="2"/>
    </xf>
    <xf numFmtId="3" fontId="17" fillId="0" borderId="2" xfId="2" applyNumberFormat="1" applyFont="1" applyFill="1" applyBorder="1" applyAlignment="1">
      <alignment vertical="center" wrapText="1"/>
    </xf>
    <xf numFmtId="3" fontId="17" fillId="0" borderId="2" xfId="2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horizontal="left" vertical="center" wrapText="1"/>
    </xf>
    <xf numFmtId="166" fontId="7" fillId="0" borderId="2" xfId="1" applyNumberFormat="1" applyFont="1" applyFill="1" applyBorder="1" applyAlignment="1">
      <alignment horizontal="left" vertical="center" wrapText="1"/>
    </xf>
    <xf numFmtId="2" fontId="7" fillId="0" borderId="10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4" fontId="7" fillId="0" borderId="10" xfId="0" applyNumberFormat="1" applyFont="1" applyFill="1" applyBorder="1" applyAlignment="1">
      <alignment horizontal="left" vertical="center" wrapText="1"/>
    </xf>
    <xf numFmtId="168" fontId="7" fillId="0" borderId="10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168" fontId="7" fillId="0" borderId="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168" fontId="7" fillId="0" borderId="12" xfId="0" applyNumberFormat="1" applyFont="1" applyFill="1" applyBorder="1" applyAlignment="1">
      <alignment horizontal="left" vertical="center" wrapText="1"/>
    </xf>
    <xf numFmtId="168" fontId="7" fillId="0" borderId="3" xfId="0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left" vertical="center" wrapText="1"/>
    </xf>
    <xf numFmtId="168" fontId="7" fillId="0" borderId="11" xfId="0" applyNumberFormat="1" applyFont="1" applyFill="1" applyBorder="1" applyAlignment="1">
      <alignment horizontal="left" vertical="center" wrapText="1"/>
    </xf>
    <xf numFmtId="43" fontId="7" fillId="0" borderId="10" xfId="1" applyFont="1" applyFill="1" applyBorder="1" applyAlignment="1">
      <alignment horizontal="left" vertical="center" wrapText="1"/>
    </xf>
    <xf numFmtId="166" fontId="7" fillId="0" borderId="10" xfId="1" applyNumberFormat="1" applyFont="1" applyFill="1" applyBorder="1" applyAlignment="1">
      <alignment horizontal="left" vertical="center" wrapText="1"/>
    </xf>
    <xf numFmtId="43" fontId="7" fillId="0" borderId="10" xfId="1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left" vertical="center" wrapText="1"/>
    </xf>
    <xf numFmtId="167" fontId="7" fillId="0" borderId="2" xfId="1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166" fontId="7" fillId="0" borderId="11" xfId="1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vertical="center" wrapText="1" readingOrder="2"/>
    </xf>
    <xf numFmtId="1" fontId="19" fillId="0" borderId="0" xfId="2" applyNumberFormat="1" applyBorder="1"/>
    <xf numFmtId="0" fontId="15" fillId="0" borderId="17" xfId="0" applyFont="1" applyBorder="1" applyAlignment="1">
      <alignment horizontal="right" vertical="center" wrapText="1"/>
    </xf>
    <xf numFmtId="168" fontId="17" fillId="7" borderId="15" xfId="3" applyNumberFormat="1" applyFont="1" applyFill="1" applyBorder="1" applyAlignment="1">
      <alignment vertical="center" wrapText="1"/>
    </xf>
    <xf numFmtId="3" fontId="17" fillId="0" borderId="0" xfId="2" applyNumberFormat="1" applyFont="1" applyFill="1" applyBorder="1" applyAlignment="1">
      <alignment vertical="center" wrapText="1"/>
    </xf>
    <xf numFmtId="1" fontId="17" fillId="7" borderId="15" xfId="2" applyNumberFormat="1" applyFont="1" applyFill="1" applyBorder="1" applyAlignment="1">
      <alignment vertical="center"/>
    </xf>
    <xf numFmtId="3" fontId="17" fillId="0" borderId="10" xfId="3" applyNumberFormat="1" applyFont="1" applyBorder="1" applyAlignment="1">
      <alignment horizontal="right" vertical="center" wrapText="1"/>
    </xf>
    <xf numFmtId="3" fontId="17" fillId="0" borderId="2" xfId="3" applyNumberFormat="1" applyFont="1" applyBorder="1" applyAlignment="1">
      <alignment horizontal="right" vertical="center" wrapText="1"/>
    </xf>
    <xf numFmtId="3" fontId="17" fillId="0" borderId="2" xfId="3" applyNumberFormat="1" applyFont="1" applyFill="1" applyBorder="1" applyAlignment="1">
      <alignment horizontal="right" vertical="center" wrapText="1"/>
    </xf>
    <xf numFmtId="0" fontId="17" fillId="0" borderId="10" xfId="2" applyFont="1" applyBorder="1" applyAlignment="1">
      <alignment vertical="center" wrapText="1" readingOrder="2"/>
    </xf>
    <xf numFmtId="0" fontId="17" fillId="3" borderId="2" xfId="2" applyFont="1" applyFill="1" applyBorder="1" applyAlignment="1">
      <alignment vertical="center" wrapText="1" readingOrder="2"/>
    </xf>
    <xf numFmtId="0" fontId="17" fillId="0" borderId="2" xfId="2" applyFont="1" applyBorder="1" applyAlignment="1">
      <alignment vertical="center" wrapText="1" readingOrder="2"/>
    </xf>
    <xf numFmtId="0" fontId="17" fillId="0" borderId="2" xfId="2" applyFont="1" applyFill="1" applyBorder="1" applyAlignment="1">
      <alignment vertical="center" wrapText="1" readingOrder="2"/>
    </xf>
    <xf numFmtId="0" fontId="17" fillId="0" borderId="11" xfId="2" applyFont="1" applyFill="1" applyBorder="1" applyAlignment="1">
      <alignment vertical="center" wrapText="1" readingOrder="2"/>
    </xf>
    <xf numFmtId="0" fontId="17" fillId="0" borderId="3" xfId="2" applyFont="1" applyFill="1" applyBorder="1" applyAlignment="1">
      <alignment vertical="center" wrapText="1" readingOrder="2"/>
    </xf>
    <xf numFmtId="165" fontId="17" fillId="0" borderId="2" xfId="2" applyNumberFormat="1" applyFont="1" applyBorder="1" applyAlignment="1">
      <alignment vertical="center" wrapText="1" readingOrder="2"/>
    </xf>
    <xf numFmtId="3" fontId="17" fillId="0" borderId="3" xfId="3" applyNumberFormat="1" applyFont="1" applyFill="1" applyBorder="1" applyAlignment="1">
      <alignment horizontal="right" vertical="center" wrapText="1"/>
    </xf>
    <xf numFmtId="3" fontId="17" fillId="0" borderId="11" xfId="3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66" fontId="17" fillId="0" borderId="3" xfId="1" applyNumberFormat="1" applyFont="1" applyFill="1" applyBorder="1" applyAlignment="1">
      <alignment vertical="center" wrapText="1" readingOrder="2"/>
    </xf>
    <xf numFmtId="0" fontId="4" fillId="6" borderId="1" xfId="2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readingOrder="2"/>
    </xf>
    <xf numFmtId="0" fontId="5" fillId="0" borderId="2" xfId="0" applyFont="1" applyFill="1" applyBorder="1" applyAlignment="1">
      <alignment horizontal="right" readingOrder="2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readingOrder="2"/>
    </xf>
    <xf numFmtId="0" fontId="5" fillId="0" borderId="11" xfId="0" applyFont="1" applyFill="1" applyBorder="1"/>
    <xf numFmtId="169" fontId="1" fillId="0" borderId="0" xfId="0" applyNumberFormat="1" applyFont="1" applyAlignment="1">
      <alignment vertical="center"/>
    </xf>
    <xf numFmtId="43" fontId="7" fillId="0" borderId="10" xfId="0" applyNumberFormat="1" applyFont="1" applyBorder="1" applyAlignment="1">
      <alignment vertical="center" wrapText="1"/>
    </xf>
    <xf numFmtId="43" fontId="7" fillId="0" borderId="2" xfId="1" applyNumberFormat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169" fontId="11" fillId="0" borderId="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readingOrder="2"/>
    </xf>
    <xf numFmtId="0" fontId="12" fillId="0" borderId="8" xfId="0" applyFont="1" applyBorder="1" applyAlignment="1">
      <alignment horizontal="center" vertical="center" wrapText="1" readingOrder="2"/>
    </xf>
    <xf numFmtId="168" fontId="17" fillId="0" borderId="2" xfId="3" applyNumberFormat="1" applyFont="1" applyFill="1" applyBorder="1" applyAlignment="1">
      <alignment vertical="center" wrapText="1"/>
    </xf>
    <xf numFmtId="165" fontId="17" fillId="0" borderId="0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horizontal="right" vertical="center" readingOrder="2"/>
    </xf>
    <xf numFmtId="165" fontId="19" fillId="0" borderId="9" xfId="2" applyNumberFormat="1" applyBorder="1" applyAlignment="1"/>
    <xf numFmtId="0" fontId="19" fillId="0" borderId="9" xfId="2" applyBorder="1"/>
    <xf numFmtId="165" fontId="7" fillId="0" borderId="11" xfId="0" applyNumberFormat="1" applyFont="1" applyBorder="1" applyAlignment="1">
      <alignment vertical="center" wrapText="1"/>
    </xf>
    <xf numFmtId="0" fontId="4" fillId="7" borderId="15" xfId="0" applyFont="1" applyFill="1" applyBorder="1" applyAlignment="1">
      <alignment horizontal="right" vertical="center" wrapText="1"/>
    </xf>
    <xf numFmtId="165" fontId="7" fillId="7" borderId="15" xfId="0" applyNumberFormat="1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166" fontId="7" fillId="6" borderId="0" xfId="1" applyNumberFormat="1" applyFont="1" applyFill="1" applyBorder="1" applyAlignment="1">
      <alignment vertical="center" wrapText="1"/>
    </xf>
    <xf numFmtId="166" fontId="7" fillId="7" borderId="13" xfId="1" applyNumberFormat="1" applyFont="1" applyFill="1" applyBorder="1" applyAlignment="1">
      <alignment vertical="center" wrapText="1"/>
    </xf>
    <xf numFmtId="166" fontId="7" fillId="6" borderId="7" xfId="1" applyNumberFormat="1" applyFont="1" applyFill="1" applyBorder="1" applyAlignment="1">
      <alignment vertical="center" wrapText="1"/>
    </xf>
    <xf numFmtId="166" fontId="19" fillId="0" borderId="0" xfId="1" applyNumberFormat="1" applyFont="1"/>
    <xf numFmtId="0" fontId="4" fillId="6" borderId="9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4" fillId="6" borderId="14" xfId="2" applyFont="1" applyFill="1" applyBorder="1" applyAlignment="1">
      <alignment horizontal="center" vertical="center" wrapText="1" readingOrder="2"/>
    </xf>
    <xf numFmtId="0" fontId="4" fillId="6" borderId="9" xfId="2" applyFont="1" applyFill="1" applyBorder="1" applyAlignment="1">
      <alignment horizontal="center" vertical="center" wrapText="1" readingOrder="2"/>
    </xf>
    <xf numFmtId="0" fontId="7" fillId="0" borderId="10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11" xfId="1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Alignment="1">
      <alignment horizontal="center" wrapText="1"/>
    </xf>
    <xf numFmtId="0" fontId="7" fillId="0" borderId="2" xfId="0" applyFont="1" applyFill="1" applyBorder="1" applyAlignment="1">
      <alignment vertical="center" wrapText="1" readingOrder="2"/>
    </xf>
    <xf numFmtId="0" fontId="7" fillId="0" borderId="11" xfId="0" applyFont="1" applyFill="1" applyBorder="1" applyAlignment="1">
      <alignment vertical="center" wrapText="1" readingOrder="2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3" fontId="17" fillId="3" borderId="0" xfId="2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0" borderId="0" xfId="3" applyBorder="1" applyAlignment="1">
      <alignment horizontal="center"/>
    </xf>
    <xf numFmtId="0" fontId="19" fillId="0" borderId="0" xfId="3" applyAlignment="1">
      <alignment horizontal="center"/>
    </xf>
    <xf numFmtId="166" fontId="26" fillId="0" borderId="0" xfId="1" applyNumberFormat="1" applyFont="1" applyBorder="1" applyAlignment="1">
      <alignment horizontal="center"/>
    </xf>
    <xf numFmtId="166" fontId="19" fillId="0" borderId="0" xfId="2" applyNumberFormat="1" applyAlignment="1">
      <alignment horizontal="center"/>
    </xf>
    <xf numFmtId="1" fontId="19" fillId="0" borderId="0" xfId="2" applyNumberFormat="1" applyAlignment="1">
      <alignment horizontal="center"/>
    </xf>
    <xf numFmtId="0" fontId="19" fillId="0" borderId="0" xfId="2" applyAlignment="1">
      <alignment horizontal="center"/>
    </xf>
    <xf numFmtId="166" fontId="19" fillId="0" borderId="0" xfId="2" applyNumberFormat="1" applyBorder="1" applyAlignment="1">
      <alignment horizontal="center"/>
    </xf>
    <xf numFmtId="166" fontId="19" fillId="0" borderId="0" xfId="3" applyNumberFormat="1" applyBorder="1" applyAlignment="1">
      <alignment horizontal="center"/>
    </xf>
    <xf numFmtId="166" fontId="19" fillId="0" borderId="0" xfId="3" applyNumberFormat="1" applyAlignment="1">
      <alignment horizontal="center"/>
    </xf>
    <xf numFmtId="0" fontId="0" fillId="0" borderId="2" xfId="0" applyFill="1" applyBorder="1"/>
    <xf numFmtId="3" fontId="0" fillId="0" borderId="0" xfId="0" applyNumberFormat="1"/>
    <xf numFmtId="3" fontId="17" fillId="0" borderId="12" xfId="3" applyNumberFormat="1" applyFont="1" applyFill="1" applyBorder="1" applyAlignment="1">
      <alignment vertical="center" wrapText="1"/>
    </xf>
    <xf numFmtId="3" fontId="17" fillId="0" borderId="12" xfId="2" applyNumberFormat="1" applyFont="1" applyFill="1" applyBorder="1" applyAlignment="1">
      <alignment horizontal="right" vertical="center"/>
    </xf>
    <xf numFmtId="0" fontId="19" fillId="0" borderId="0" xfId="2" applyFill="1" applyBorder="1"/>
    <xf numFmtId="0" fontId="19" fillId="0" borderId="0" xfId="2" applyFill="1" applyBorder="1" applyAlignment="1"/>
    <xf numFmtId="165" fontId="17" fillId="0" borderId="2" xfId="2" applyNumberFormat="1" applyFont="1" applyFill="1" applyBorder="1" applyAlignment="1">
      <alignment vertical="center" wrapText="1"/>
    </xf>
    <xf numFmtId="1" fontId="19" fillId="0" borderId="0" xfId="3" applyNumberFormat="1"/>
    <xf numFmtId="166" fontId="19" fillId="0" borderId="0" xfId="3" applyNumberFormat="1"/>
    <xf numFmtId="165" fontId="17" fillId="0" borderId="11" xfId="2" applyNumberFormat="1" applyFont="1" applyBorder="1" applyAlignment="1">
      <alignment vertical="center" wrapText="1" readingOrder="2"/>
    </xf>
    <xf numFmtId="1" fontId="19" fillId="0" borderId="0" xfId="3" applyNumberFormat="1" applyAlignment="1">
      <alignment horizontal="center"/>
    </xf>
    <xf numFmtId="0" fontId="8" fillId="0" borderId="0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right" vertical="center" wrapText="1"/>
    </xf>
    <xf numFmtId="2" fontId="7" fillId="7" borderId="15" xfId="0" applyNumberFormat="1" applyFont="1" applyFill="1" applyBorder="1" applyAlignment="1">
      <alignment vertical="center" wrapText="1"/>
    </xf>
    <xf numFmtId="43" fontId="7" fillId="7" borderId="15" xfId="1" applyNumberFormat="1" applyFont="1" applyFill="1" applyBorder="1" applyAlignment="1">
      <alignment horizontal="right" vertical="center" wrapText="1"/>
    </xf>
    <xf numFmtId="2" fontId="7" fillId="0" borderId="10" xfId="0" applyNumberFormat="1" applyFont="1" applyBorder="1" applyAlignment="1">
      <alignment vertical="center" wrapText="1" readingOrder="2"/>
    </xf>
    <xf numFmtId="2" fontId="7" fillId="0" borderId="2" xfId="0" applyNumberFormat="1" applyFont="1" applyBorder="1" applyAlignment="1">
      <alignment vertical="center" wrapText="1" readingOrder="2"/>
    </xf>
    <xf numFmtId="2" fontId="7" fillId="0" borderId="3" xfId="0" applyNumberFormat="1" applyFont="1" applyBorder="1" applyAlignment="1">
      <alignment vertical="center" wrapText="1" readingOrder="2"/>
    </xf>
    <xf numFmtId="2" fontId="7" fillId="0" borderId="2" xfId="0" applyNumberFormat="1" applyFont="1" applyFill="1" applyBorder="1" applyAlignment="1">
      <alignment vertical="center" wrapText="1" readingOrder="2"/>
    </xf>
    <xf numFmtId="2" fontId="7" fillId="0" borderId="3" xfId="0" applyNumberFormat="1" applyFont="1" applyFill="1" applyBorder="1" applyAlignment="1">
      <alignment vertical="center" wrapText="1" readingOrder="2"/>
    </xf>
    <xf numFmtId="2" fontId="7" fillId="7" borderId="15" xfId="0" applyNumberFormat="1" applyFont="1" applyFill="1" applyBorder="1" applyAlignment="1">
      <alignment vertical="center" wrapText="1" readingOrder="2"/>
    </xf>
    <xf numFmtId="3" fontId="7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168" fontId="7" fillId="0" borderId="0" xfId="0" applyNumberFormat="1" applyFont="1" applyBorder="1" applyAlignment="1">
      <alignment vertical="center" readingOrder="2"/>
    </xf>
    <xf numFmtId="166" fontId="7" fillId="0" borderId="0" xfId="1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7" fillId="0" borderId="22" xfId="0" applyNumberFormat="1" applyFont="1" applyBorder="1" applyAlignment="1">
      <alignment vertical="center" readingOrder="2"/>
    </xf>
    <xf numFmtId="3" fontId="7" fillId="0" borderId="20" xfId="0" applyNumberFormat="1" applyFont="1" applyBorder="1" applyAlignment="1">
      <alignment vertical="center" readingOrder="2"/>
    </xf>
    <xf numFmtId="166" fontId="1" fillId="0" borderId="0" xfId="1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vertical="center" readingOrder="2"/>
    </xf>
    <xf numFmtId="168" fontId="7" fillId="0" borderId="17" xfId="0" applyNumberFormat="1" applyFont="1" applyBorder="1" applyAlignment="1">
      <alignment vertical="center" readingOrder="2"/>
    </xf>
    <xf numFmtId="0" fontId="6" fillId="0" borderId="0" xfId="0" applyFont="1" applyBorder="1" applyAlignment="1">
      <alignment horizontal="center" vertical="center"/>
    </xf>
    <xf numFmtId="0" fontId="15" fillId="0" borderId="9" xfId="2" applyFont="1" applyFill="1" applyBorder="1" applyAlignment="1">
      <alignment horizontal="right" vertical="center" wrapText="1" readingOrder="2"/>
    </xf>
    <xf numFmtId="0" fontId="12" fillId="0" borderId="0" xfId="0" applyFont="1" applyAlignment="1">
      <alignment horizontal="right" vertical="center" wrapText="1"/>
    </xf>
    <xf numFmtId="166" fontId="7" fillId="0" borderId="10" xfId="1" applyNumberFormat="1" applyFont="1" applyFill="1" applyBorder="1" applyAlignment="1">
      <alignment vertical="center" wrapText="1"/>
    </xf>
    <xf numFmtId="166" fontId="7" fillId="0" borderId="2" xfId="1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0" fillId="0" borderId="0" xfId="0" applyNumberFormat="1" applyBorder="1"/>
    <xf numFmtId="0" fontId="8" fillId="0" borderId="0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4" fillId="6" borderId="9" xfId="2" applyFont="1" applyFill="1" applyBorder="1" applyAlignment="1">
      <alignment horizontal="right" vertical="center" wrapText="1"/>
    </xf>
    <xf numFmtId="0" fontId="4" fillId="6" borderId="7" xfId="2" applyFont="1" applyFill="1" applyBorder="1" applyAlignment="1">
      <alignment horizontal="right" vertical="center" wrapText="1"/>
    </xf>
    <xf numFmtId="3" fontId="19" fillId="0" borderId="0" xfId="2" applyNumberFormat="1"/>
    <xf numFmtId="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4" fontId="7" fillId="5" borderId="11" xfId="0" applyNumberFormat="1" applyFont="1" applyFill="1" applyBorder="1" applyAlignment="1">
      <alignment vertical="center" wrapText="1" readingOrder="1"/>
    </xf>
    <xf numFmtId="168" fontId="7" fillId="0" borderId="5" xfId="0" applyNumberFormat="1" applyFont="1" applyBorder="1" applyAlignment="1">
      <alignment vertical="center" readingOrder="2"/>
    </xf>
    <xf numFmtId="3" fontId="7" fillId="0" borderId="5" xfId="0" applyNumberFormat="1" applyFont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3" fontId="7" fillId="0" borderId="2" xfId="1" applyNumberFormat="1" applyFont="1" applyFill="1" applyBorder="1" applyAlignment="1">
      <alignment horizontal="left" vertical="center" wrapText="1"/>
    </xf>
    <xf numFmtId="166" fontId="7" fillId="0" borderId="12" xfId="1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39" fillId="0" borderId="0" xfId="2" applyFont="1" applyFill="1" applyBorder="1" applyAlignment="1">
      <alignment horizontal="right" vertical="center" readingOrder="2"/>
    </xf>
    <xf numFmtId="0" fontId="4" fillId="6" borderId="9" xfId="3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vertical="center" wrapText="1" readingOrder="1"/>
    </xf>
    <xf numFmtId="1" fontId="17" fillId="0" borderId="3" xfId="2" applyNumberFormat="1" applyFont="1" applyFill="1" applyBorder="1" applyAlignment="1">
      <alignment vertical="center" wrapText="1"/>
    </xf>
    <xf numFmtId="1" fontId="19" fillId="0" borderId="0" xfId="2" applyNumberFormat="1"/>
    <xf numFmtId="1" fontId="17" fillId="0" borderId="2" xfId="2" applyNumberFormat="1" applyFont="1" applyFill="1" applyBorder="1" applyAlignment="1">
      <alignment horizontal="right" vertical="center"/>
    </xf>
    <xf numFmtId="168" fontId="17" fillId="0" borderId="2" xfId="2" applyNumberFormat="1" applyFont="1" applyFill="1" applyBorder="1" applyAlignment="1">
      <alignment vertical="center" wrapText="1"/>
    </xf>
    <xf numFmtId="168" fontId="17" fillId="0" borderId="2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8" fillId="3" borderId="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readingOrder="2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3" fontId="0" fillId="0" borderId="0" xfId="0" applyNumberFormat="1"/>
    <xf numFmtId="9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 wrapText="1"/>
    </xf>
    <xf numFmtId="0" fontId="45" fillId="0" borderId="0" xfId="0" applyFont="1"/>
    <xf numFmtId="0" fontId="4" fillId="0" borderId="1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5" fontId="17" fillId="0" borderId="12" xfId="2" applyNumberFormat="1" applyFont="1" applyFill="1" applyBorder="1" applyAlignment="1">
      <alignment horizontal="right" vertical="center"/>
    </xf>
    <xf numFmtId="166" fontId="17" fillId="0" borderId="3" xfId="1" applyNumberFormat="1" applyFont="1" applyFill="1" applyBorder="1" applyAlignment="1">
      <alignment vertical="center" wrapText="1"/>
    </xf>
    <xf numFmtId="170" fontId="17" fillId="0" borderId="3" xfId="1" applyNumberFormat="1" applyFont="1" applyFill="1" applyBorder="1" applyAlignment="1">
      <alignment vertical="center" wrapText="1"/>
    </xf>
    <xf numFmtId="165" fontId="17" fillId="0" borderId="3" xfId="2" applyNumberFormat="1" applyFont="1" applyFill="1" applyBorder="1" applyAlignment="1">
      <alignment vertical="center" wrapText="1"/>
    </xf>
    <xf numFmtId="3" fontId="17" fillId="0" borderId="3" xfId="2" applyNumberFormat="1" applyFont="1" applyFill="1" applyBorder="1" applyAlignment="1">
      <alignment vertical="center" wrapText="1"/>
    </xf>
    <xf numFmtId="166" fontId="17" fillId="0" borderId="2" xfId="1" applyNumberFormat="1" applyFont="1" applyFill="1" applyBorder="1" applyAlignment="1">
      <alignment vertical="center" wrapText="1"/>
    </xf>
    <xf numFmtId="170" fontId="17" fillId="0" borderId="2" xfId="1" applyNumberFormat="1" applyFont="1" applyFill="1" applyBorder="1" applyAlignment="1">
      <alignment vertical="center" wrapText="1"/>
    </xf>
    <xf numFmtId="168" fontId="17" fillId="0" borderId="2" xfId="3" applyNumberFormat="1" applyFont="1" applyFill="1" applyBorder="1" applyAlignment="1">
      <alignment vertical="center" wrapText="1" readingOrder="2"/>
    </xf>
    <xf numFmtId="1" fontId="34" fillId="0" borderId="0" xfId="2" applyNumberFormat="1" applyFont="1" applyFill="1" applyBorder="1" applyAlignment="1">
      <alignment horizontal="center" vertical="center" wrapText="1"/>
    </xf>
    <xf numFmtId="1" fontId="19" fillId="0" borderId="0" xfId="2" applyNumberFormat="1" applyFill="1" applyBorder="1" applyAlignment="1"/>
    <xf numFmtId="1" fontId="19" fillId="0" borderId="0" xfId="2" applyNumberFormat="1" applyFill="1" applyBorder="1"/>
    <xf numFmtId="1" fontId="18" fillId="0" borderId="0" xfId="2" applyNumberFormat="1" applyFont="1" applyFill="1" applyBorder="1" applyAlignment="1">
      <alignment horizontal="center" vertical="center" wrapText="1"/>
    </xf>
    <xf numFmtId="165" fontId="17" fillId="0" borderId="5" xfId="2" applyNumberFormat="1" applyFont="1" applyBorder="1" applyAlignment="1">
      <alignment vertical="center" wrapText="1" readingOrder="2"/>
    </xf>
    <xf numFmtId="0" fontId="8" fillId="0" borderId="5" xfId="0" applyFont="1" applyFill="1" applyBorder="1" applyAlignment="1">
      <alignment horizontal="center" vertical="center"/>
    </xf>
    <xf numFmtId="0" fontId="21" fillId="0" borderId="0" xfId="2" applyFont="1"/>
    <xf numFmtId="0" fontId="4" fillId="6" borderId="9" xfId="3" applyFont="1" applyFill="1" applyBorder="1" applyAlignment="1">
      <alignment horizontal="center" vertical="center" wrapText="1"/>
    </xf>
    <xf numFmtId="43" fontId="7" fillId="7" borderId="15" xfId="1" applyFont="1" applyFill="1" applyBorder="1" applyAlignment="1">
      <alignment horizontal="center" vertical="center" wrapText="1"/>
    </xf>
    <xf numFmtId="165" fontId="17" fillId="0" borderId="2" xfId="3" applyNumberFormat="1" applyFont="1" applyFill="1" applyBorder="1" applyAlignment="1">
      <alignment vertical="center" wrapText="1"/>
    </xf>
    <xf numFmtId="165" fontId="17" fillId="0" borderId="0" xfId="2" applyNumberFormat="1" applyFont="1" applyFill="1" applyBorder="1" applyAlignment="1">
      <alignment horizontal="center" vertical="center"/>
    </xf>
    <xf numFmtId="165" fontId="19" fillId="0" borderId="0" xfId="2" applyNumberFormat="1" applyFill="1" applyBorder="1" applyAlignment="1"/>
    <xf numFmtId="165" fontId="17" fillId="0" borderId="12" xfId="3" applyNumberFormat="1" applyFont="1" applyFill="1" applyBorder="1" applyAlignment="1">
      <alignment vertical="center" wrapText="1"/>
    </xf>
    <xf numFmtId="0" fontId="19" fillId="0" borderId="0" xfId="2" applyFill="1" applyAlignment="1"/>
    <xf numFmtId="1" fontId="17" fillId="0" borderId="12" xfId="3" applyNumberFormat="1" applyFont="1" applyFill="1" applyBorder="1" applyAlignment="1">
      <alignment vertical="center" wrapText="1"/>
    </xf>
    <xf numFmtId="165" fontId="17" fillId="0" borderId="12" xfId="2" applyNumberFormat="1" applyFont="1" applyFill="1" applyBorder="1" applyAlignment="1">
      <alignment vertical="center" wrapText="1"/>
    </xf>
    <xf numFmtId="165" fontId="17" fillId="0" borderId="2" xfId="2" applyNumberFormat="1" applyFont="1" applyFill="1" applyBorder="1" applyAlignment="1">
      <alignment horizontal="right" vertical="center"/>
    </xf>
    <xf numFmtId="165" fontId="35" fillId="0" borderId="0" xfId="2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5" fontId="37" fillId="0" borderId="0" xfId="2" applyNumberFormat="1" applyFont="1" applyFill="1" applyBorder="1" applyAlignment="1"/>
    <xf numFmtId="0" fontId="37" fillId="0" borderId="0" xfId="2" applyFont="1" applyFill="1" applyBorder="1" applyAlignment="1"/>
    <xf numFmtId="0" fontId="37" fillId="0" borderId="0" xfId="2" applyFont="1" applyFill="1" applyAlignment="1"/>
    <xf numFmtId="0" fontId="37" fillId="0" borderId="0" xfId="2" applyFont="1" applyFill="1"/>
    <xf numFmtId="12" fontId="17" fillId="0" borderId="3" xfId="1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40" fillId="0" borderId="0" xfId="2" applyFont="1" applyFill="1"/>
    <xf numFmtId="166" fontId="26" fillId="0" borderId="0" xfId="1" applyNumberFormat="1" applyFont="1" applyFill="1" applyBorder="1" applyAlignment="1">
      <alignment horizontal="center"/>
    </xf>
    <xf numFmtId="0" fontId="19" fillId="0" borderId="0" xfId="2" applyNumberFormat="1" applyFill="1" applyAlignment="1">
      <alignment horizontal="center"/>
    </xf>
    <xf numFmtId="166" fontId="19" fillId="0" borderId="0" xfId="2" applyNumberFormat="1" applyFill="1" applyAlignment="1">
      <alignment horizontal="center"/>
    </xf>
    <xf numFmtId="1" fontId="19" fillId="0" borderId="0" xfId="3" applyNumberFormat="1" applyFill="1" applyAlignment="1">
      <alignment horizontal="center"/>
    </xf>
    <xf numFmtId="0" fontId="37" fillId="0" borderId="2" xfId="2" applyFont="1" applyFill="1" applyBorder="1"/>
    <xf numFmtId="3" fontId="17" fillId="0" borderId="12" xfId="2" applyNumberFormat="1" applyFont="1" applyFill="1" applyBorder="1" applyAlignment="1">
      <alignment vertical="center"/>
    </xf>
    <xf numFmtId="166" fontId="19" fillId="0" borderId="2" xfId="2" applyNumberForma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6" fillId="0" borderId="0" xfId="2" applyFont="1" applyFill="1"/>
    <xf numFmtId="0" fontId="38" fillId="0" borderId="0" xfId="2" applyFont="1" applyFill="1" applyBorder="1" applyAlignment="1"/>
    <xf numFmtId="0" fontId="38" fillId="0" borderId="0" xfId="2" applyFont="1" applyFill="1" applyAlignment="1"/>
    <xf numFmtId="0" fontId="38" fillId="0" borderId="0" xfId="2" applyFont="1" applyFill="1"/>
    <xf numFmtId="3" fontId="17" fillId="0" borderId="2" xfId="2" applyNumberFormat="1" applyFont="1" applyFill="1" applyBorder="1" applyAlignment="1">
      <alignment horizontal="right" vertical="center"/>
    </xf>
    <xf numFmtId="1" fontId="19" fillId="0" borderId="0" xfId="2" applyNumberFormat="1" applyFill="1" applyAlignment="1">
      <alignment horizontal="center"/>
    </xf>
    <xf numFmtId="168" fontId="17" fillId="0" borderId="2" xfId="2" applyNumberFormat="1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right" vertical="center" wrapText="1"/>
    </xf>
    <xf numFmtId="0" fontId="26" fillId="0" borderId="0" xfId="2" applyFont="1" applyFill="1" applyBorder="1" applyAlignment="1"/>
    <xf numFmtId="0" fontId="26" fillId="0" borderId="0" xfId="2" applyFont="1" applyFill="1" applyAlignment="1"/>
    <xf numFmtId="3" fontId="17" fillId="0" borderId="12" xfId="2" applyNumberFormat="1" applyFont="1" applyFill="1" applyBorder="1" applyAlignment="1">
      <alignment vertical="center" wrapText="1"/>
    </xf>
    <xf numFmtId="0" fontId="17" fillId="0" borderId="12" xfId="3" applyFont="1" applyFill="1" applyBorder="1" applyAlignment="1">
      <alignment vertical="center" wrapText="1"/>
    </xf>
    <xf numFmtId="165" fontId="19" fillId="0" borderId="0" xfId="2" applyNumberFormat="1" applyFill="1" applyAlignment="1"/>
    <xf numFmtId="165" fontId="37" fillId="0" borderId="0" xfId="2" applyNumberFormat="1" applyFont="1" applyFill="1" applyAlignment="1"/>
    <xf numFmtId="1" fontId="17" fillId="0" borderId="3" xfId="3" applyNumberFormat="1" applyFont="1" applyFill="1" applyBorder="1" applyAlignment="1">
      <alignment vertical="center" wrapText="1"/>
    </xf>
    <xf numFmtId="168" fontId="17" fillId="0" borderId="12" xfId="3" applyNumberFormat="1" applyFont="1" applyFill="1" applyBorder="1" applyAlignment="1">
      <alignment vertical="center" wrapText="1"/>
    </xf>
    <xf numFmtId="1" fontId="26" fillId="0" borderId="0" xfId="2" applyNumberFormat="1" applyFont="1" applyFill="1" applyBorder="1"/>
    <xf numFmtId="0" fontId="26" fillId="0" borderId="0" xfId="2" applyFont="1" applyFill="1" applyBorder="1"/>
    <xf numFmtId="1" fontId="19" fillId="0" borderId="2" xfId="2" applyNumberFormat="1" applyFill="1" applyBorder="1" applyAlignment="1">
      <alignment horizontal="center"/>
    </xf>
    <xf numFmtId="1" fontId="20" fillId="0" borderId="0" xfId="2" applyNumberFormat="1" applyFont="1" applyFill="1" applyBorder="1" applyAlignment="1">
      <alignment horizontal="right" vertical="center" readingOrder="2"/>
    </xf>
    <xf numFmtId="0" fontId="15" fillId="0" borderId="0" xfId="2" applyFont="1" applyFill="1" applyBorder="1" applyAlignment="1">
      <alignment horizontal="right" vertical="center"/>
    </xf>
    <xf numFmtId="0" fontId="17" fillId="0" borderId="3" xfId="3" applyFont="1" applyFill="1" applyBorder="1" applyAlignment="1">
      <alignment vertical="center" wrapText="1"/>
    </xf>
    <xf numFmtId="164" fontId="19" fillId="0" borderId="2" xfId="2" applyNumberForma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vertical="center" wrapText="1"/>
    </xf>
    <xf numFmtId="3" fontId="17" fillId="0" borderId="11" xfId="3" applyNumberFormat="1" applyFont="1" applyFill="1" applyBorder="1" applyAlignment="1">
      <alignment vertical="center" wrapText="1"/>
    </xf>
    <xf numFmtId="0" fontId="0" fillId="0" borderId="11" xfId="0" applyFill="1" applyBorder="1"/>
    <xf numFmtId="3" fontId="17" fillId="0" borderId="3" xfId="3" applyNumberFormat="1" applyFont="1" applyFill="1" applyBorder="1" applyAlignment="1">
      <alignment vertical="center" wrapText="1" readingOrder="2"/>
    </xf>
    <xf numFmtId="168" fontId="17" fillId="0" borderId="3" xfId="3" applyNumberFormat="1" applyFont="1" applyFill="1" applyBorder="1" applyAlignment="1">
      <alignment vertical="center" wrapText="1"/>
    </xf>
    <xf numFmtId="0" fontId="35" fillId="0" borderId="3" xfId="2" applyFont="1" applyFill="1" applyBorder="1" applyAlignment="1">
      <alignment horizontal="right" vertical="center" wrapText="1"/>
    </xf>
    <xf numFmtId="165" fontId="17" fillId="0" borderId="11" xfId="2" applyNumberFormat="1" applyFont="1" applyFill="1" applyBorder="1" applyAlignment="1">
      <alignment horizontal="right" vertical="center"/>
    </xf>
    <xf numFmtId="0" fontId="17" fillId="0" borderId="3" xfId="2" applyFont="1" applyFill="1" applyBorder="1" applyAlignment="1">
      <alignment horizontal="right" vertical="center" wrapText="1"/>
    </xf>
    <xf numFmtId="169" fontId="19" fillId="0" borderId="2" xfId="2" applyNumberFormat="1" applyFill="1" applyBorder="1" applyAlignment="1">
      <alignment horizontal="center"/>
    </xf>
    <xf numFmtId="0" fontId="19" fillId="0" borderId="3" xfId="2" applyFill="1" applyBorder="1"/>
    <xf numFmtId="168" fontId="17" fillId="0" borderId="3" xfId="2" applyNumberFormat="1" applyFont="1" applyFill="1" applyBorder="1" applyAlignment="1">
      <alignment vertical="center" wrapText="1"/>
    </xf>
    <xf numFmtId="0" fontId="41" fillId="0" borderId="9" xfId="0" applyFont="1" applyFill="1" applyBorder="1" applyAlignment="1">
      <alignment horizontal="right" readingOrder="2"/>
    </xf>
    <xf numFmtId="0" fontId="41" fillId="0" borderId="0" xfId="0" applyFont="1" applyFill="1" applyBorder="1" applyAlignment="1">
      <alignment horizontal="right" readingOrder="2"/>
    </xf>
    <xf numFmtId="0" fontId="44" fillId="0" borderId="9" xfId="0" applyFont="1" applyFill="1" applyBorder="1" applyAlignment="1">
      <alignment horizontal="right" vertical="center" readingOrder="2"/>
    </xf>
    <xf numFmtId="0" fontId="44" fillId="0" borderId="9" xfId="0" applyFont="1" applyFill="1" applyBorder="1" applyAlignment="1">
      <alignment horizontal="right" readingOrder="2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15" fillId="0" borderId="2" xfId="2" applyFont="1" applyFill="1" applyBorder="1" applyAlignment="1">
      <alignment horizontal="right" vertical="center"/>
    </xf>
    <xf numFmtId="43" fontId="7" fillId="0" borderId="3" xfId="1" applyNumberFormat="1" applyFont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43" fontId="7" fillId="0" borderId="5" xfId="1" applyNumberFormat="1" applyFont="1" applyBorder="1" applyAlignment="1">
      <alignment horizontal="center" vertical="center" wrapText="1"/>
    </xf>
    <xf numFmtId="43" fontId="7" fillId="0" borderId="10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3" fontId="7" fillId="0" borderId="3" xfId="0" applyNumberFormat="1" applyFont="1" applyBorder="1" applyAlignment="1">
      <alignment vertical="center" wrapText="1"/>
    </xf>
    <xf numFmtId="43" fontId="7" fillId="7" borderId="6" xfId="1" applyNumberFormat="1" applyFont="1" applyFill="1" applyBorder="1" applyAlignment="1">
      <alignment vertical="center" wrapText="1"/>
    </xf>
    <xf numFmtId="43" fontId="7" fillId="7" borderId="6" xfId="0" applyNumberFormat="1" applyFont="1" applyFill="1" applyBorder="1" applyAlignment="1">
      <alignment vertical="center" wrapText="1"/>
    </xf>
    <xf numFmtId="0" fontId="46" fillId="0" borderId="0" xfId="0" applyFont="1"/>
    <xf numFmtId="0" fontId="46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6" fontId="11" fillId="0" borderId="2" xfId="1" applyNumberFormat="1" applyFont="1" applyBorder="1" applyAlignment="1">
      <alignment horizontal="right" vertical="center"/>
    </xf>
    <xf numFmtId="166" fontId="11" fillId="0" borderId="3" xfId="1" applyNumberFormat="1" applyFont="1" applyBorder="1" applyAlignment="1">
      <alignment horizontal="right" vertical="center"/>
    </xf>
    <xf numFmtId="166" fontId="11" fillId="7" borderId="6" xfId="1" applyNumberFormat="1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165" fontId="17" fillId="0" borderId="10" xfId="2" applyNumberFormat="1" applyFont="1" applyFill="1" applyBorder="1" applyAlignment="1">
      <alignment horizontal="right" vertical="center"/>
    </xf>
    <xf numFmtId="3" fontId="17" fillId="0" borderId="10" xfId="3" applyNumberFormat="1" applyFont="1" applyFill="1" applyBorder="1" applyAlignment="1">
      <alignment vertical="center" wrapText="1"/>
    </xf>
    <xf numFmtId="0" fontId="0" fillId="0" borderId="10" xfId="0" applyFill="1" applyBorder="1"/>
    <xf numFmtId="0" fontId="8" fillId="0" borderId="0" xfId="0" applyFont="1" applyFill="1" applyBorder="1" applyAlignment="1">
      <alignment horizontal="right" vertical="center" wrapText="1" readingOrder="2"/>
    </xf>
    <xf numFmtId="3" fontId="19" fillId="0" borderId="0" xfId="3" applyNumberFormat="1" applyFill="1" applyBorder="1"/>
    <xf numFmtId="0" fontId="19" fillId="0" borderId="0" xfId="3" applyFill="1"/>
    <xf numFmtId="3" fontId="19" fillId="0" borderId="0" xfId="3" applyNumberFormat="1" applyFill="1"/>
    <xf numFmtId="0" fontId="19" fillId="0" borderId="0" xfId="3" applyFill="1" applyAlignment="1">
      <alignment horizontal="center"/>
    </xf>
    <xf numFmtId="0" fontId="12" fillId="0" borderId="0" xfId="0" applyFont="1" applyFill="1" applyAlignment="1">
      <alignment horizontal="right" vertical="center" wrapText="1"/>
    </xf>
    <xf numFmtId="166" fontId="7" fillId="7" borderId="6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 readingOrder="2"/>
    </xf>
    <xf numFmtId="167" fontId="17" fillId="3" borderId="12" xfId="1" applyNumberFormat="1" applyFont="1" applyFill="1" applyBorder="1" applyAlignment="1">
      <alignment horizontal="right" vertical="center" readingOrder="2"/>
    </xf>
    <xf numFmtId="0" fontId="10" fillId="0" borderId="0" xfId="0" applyFont="1" applyAlignment="1">
      <alignment horizontal="right" vertical="top"/>
    </xf>
    <xf numFmtId="165" fontId="7" fillId="0" borderId="3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10" fillId="0" borderId="0" xfId="0" applyFont="1" applyAlignment="1">
      <alignment horizontal="right" vertical="top"/>
    </xf>
    <xf numFmtId="0" fontId="8" fillId="0" borderId="0" xfId="0" applyFont="1" applyBorder="1" applyAlignment="1">
      <alignment horizontal="right" vertical="center" readingOrder="2"/>
    </xf>
    <xf numFmtId="0" fontId="15" fillId="0" borderId="2" xfId="2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4" fillId="6" borderId="9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3" fontId="19" fillId="0" borderId="0" xfId="3" applyNumberFormat="1"/>
    <xf numFmtId="43" fontId="7" fillId="0" borderId="3" xfId="1" applyNumberFormat="1" applyFont="1" applyFill="1" applyBorder="1" applyAlignment="1">
      <alignment horizontal="left" vertical="center" wrapText="1"/>
    </xf>
    <xf numFmtId="4" fontId="7" fillId="0" borderId="12" xfId="0" applyNumberFormat="1" applyFont="1" applyFill="1" applyBorder="1" applyAlignment="1">
      <alignment horizontal="left" vertical="center" wrapText="1"/>
    </xf>
    <xf numFmtId="167" fontId="7" fillId="0" borderId="3" xfId="1" applyNumberFormat="1" applyFont="1" applyFill="1" applyBorder="1" applyAlignment="1">
      <alignment horizontal="left" vertical="center" wrapText="1"/>
    </xf>
    <xf numFmtId="43" fontId="7" fillId="0" borderId="11" xfId="1" applyNumberFormat="1" applyFont="1" applyFill="1" applyBorder="1" applyAlignment="1">
      <alignment horizontal="left" vertical="center" wrapText="1"/>
    </xf>
    <xf numFmtId="167" fontId="7" fillId="0" borderId="11" xfId="1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167" fontId="17" fillId="7" borderId="15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41" fillId="0" borderId="5" xfId="0" applyFont="1" applyBorder="1" applyAlignment="1">
      <alignment horizontal="right" vertical="center" wrapText="1"/>
    </xf>
    <xf numFmtId="0" fontId="44" fillId="0" borderId="0" xfId="0" applyFont="1" applyBorder="1" applyAlignment="1">
      <alignment horizontal="right"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right" vertical="center" wrapText="1" readingOrder="2"/>
    </xf>
    <xf numFmtId="0" fontId="11" fillId="0" borderId="13" xfId="0" applyFont="1" applyBorder="1" applyAlignment="1">
      <alignment horizontal="center" vertical="center" wrapText="1" readingOrder="2"/>
    </xf>
    <xf numFmtId="167" fontId="17" fillId="0" borderId="12" xfId="3" applyNumberFormat="1" applyFont="1" applyFill="1" applyBorder="1" applyAlignment="1">
      <alignment vertical="center" wrapText="1"/>
    </xf>
    <xf numFmtId="167" fontId="17" fillId="7" borderId="6" xfId="3" applyNumberFormat="1" applyFont="1" applyFill="1" applyBorder="1" applyAlignment="1">
      <alignment vertical="center" wrapText="1"/>
    </xf>
    <xf numFmtId="165" fontId="11" fillId="0" borderId="10" xfId="0" applyNumberFormat="1" applyFont="1" applyBorder="1" applyAlignment="1">
      <alignment horizontal="right" vertical="center" readingOrder="2"/>
    </xf>
    <xf numFmtId="165" fontId="11" fillId="0" borderId="13" xfId="0" applyNumberFormat="1" applyFont="1" applyBorder="1" applyAlignment="1">
      <alignment horizontal="right" vertical="center" readingOrder="2"/>
    </xf>
    <xf numFmtId="165" fontId="11" fillId="0" borderId="11" xfId="0" applyNumberFormat="1" applyFont="1" applyBorder="1" applyAlignment="1">
      <alignment horizontal="right" vertical="center" readingOrder="2"/>
    </xf>
    <xf numFmtId="3" fontId="7" fillId="0" borderId="6" xfId="0" applyNumberFormat="1" applyFont="1" applyBorder="1" applyAlignment="1">
      <alignment horizontal="right" vertical="center"/>
    </xf>
    <xf numFmtId="167" fontId="17" fillId="7" borderId="15" xfId="1" applyNumberFormat="1" applyFont="1" applyFill="1" applyBorder="1" applyAlignment="1">
      <alignment horizontal="right" vertical="center" wrapText="1"/>
    </xf>
    <xf numFmtId="167" fontId="17" fillId="7" borderId="15" xfId="1" applyNumberFormat="1" applyFont="1" applyFill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wrapText="1" readingOrder="2"/>
    </xf>
    <xf numFmtId="0" fontId="11" fillId="0" borderId="10" xfId="0" applyFont="1" applyBorder="1" applyAlignment="1">
      <alignment vertical="center" wrapText="1" readingOrder="2"/>
    </xf>
    <xf numFmtId="0" fontId="11" fillId="0" borderId="2" xfId="0" applyFont="1" applyBorder="1" applyAlignment="1">
      <alignment vertical="center" wrapText="1" readingOrder="2"/>
    </xf>
    <xf numFmtId="0" fontId="11" fillId="0" borderId="13" xfId="0" applyFont="1" applyBorder="1" applyAlignment="1">
      <alignment vertical="center" wrapText="1" readingOrder="2"/>
    </xf>
    <xf numFmtId="0" fontId="11" fillId="0" borderId="0" xfId="0" applyFont="1" applyBorder="1" applyAlignment="1">
      <alignment horizontal="center" vertical="center" readingOrder="2"/>
    </xf>
    <xf numFmtId="2" fontId="0" fillId="0" borderId="0" xfId="0" applyNumberFormat="1" applyBorder="1"/>
    <xf numFmtId="1" fontId="0" fillId="0" borderId="0" xfId="0" applyNumberFormat="1" applyBorder="1"/>
    <xf numFmtId="0" fontId="6" fillId="0" borderId="3" xfId="0" applyFont="1" applyBorder="1" applyAlignment="1">
      <alignment horizontal="right" vertical="center" wrapText="1"/>
    </xf>
    <xf numFmtId="3" fontId="48" fillId="3" borderId="3" xfId="2" applyNumberFormat="1" applyFont="1" applyFill="1" applyBorder="1" applyAlignment="1">
      <alignment horizontal="left" vertical="center"/>
    </xf>
    <xf numFmtId="171" fontId="7" fillId="5" borderId="2" xfId="0" applyNumberFormat="1" applyFont="1" applyFill="1" applyBorder="1" applyAlignment="1">
      <alignment vertical="center" wrapText="1" readingOrder="2"/>
    </xf>
    <xf numFmtId="4" fontId="7" fillId="5" borderId="12" xfId="0" applyNumberFormat="1" applyFont="1" applyFill="1" applyBorder="1" applyAlignment="1">
      <alignment vertical="center" wrapText="1" readingOrder="2"/>
    </xf>
    <xf numFmtId="172" fontId="7" fillId="5" borderId="2" xfId="0" applyNumberFormat="1" applyFont="1" applyFill="1" applyBorder="1" applyAlignment="1">
      <alignment vertical="center" wrapText="1" readingOrder="2"/>
    </xf>
    <xf numFmtId="165" fontId="7" fillId="0" borderId="5" xfId="0" applyNumberFormat="1" applyFont="1" applyFill="1" applyBorder="1" applyAlignment="1">
      <alignment horizontal="left" vertical="center" wrapText="1"/>
    </xf>
    <xf numFmtId="167" fontId="7" fillId="0" borderId="10" xfId="1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readingOrder="2"/>
    </xf>
    <xf numFmtId="0" fontId="0" fillId="0" borderId="9" xfId="0" applyBorder="1" applyAlignment="1">
      <alignment vertical="center"/>
    </xf>
    <xf numFmtId="1" fontId="7" fillId="0" borderId="3" xfId="0" applyNumberFormat="1" applyFont="1" applyFill="1" applyBorder="1" applyAlignment="1">
      <alignment horizontal="left" vertical="center" wrapText="1"/>
    </xf>
    <xf numFmtId="4" fontId="7" fillId="0" borderId="21" xfId="0" applyNumberFormat="1" applyFont="1" applyBorder="1" applyAlignment="1">
      <alignment horizontal="right" vertical="center"/>
    </xf>
    <xf numFmtId="0" fontId="4" fillId="6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vertical="center"/>
    </xf>
    <xf numFmtId="0" fontId="4" fillId="6" borderId="9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10" fillId="10" borderId="13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readingOrder="2"/>
    </xf>
    <xf numFmtId="0" fontId="11" fillId="0" borderId="13" xfId="0" applyFont="1" applyBorder="1" applyAlignment="1">
      <alignment horizontal="right" vertical="center" readingOrder="2"/>
    </xf>
    <xf numFmtId="0" fontId="11" fillId="0" borderId="11" xfId="0" applyFont="1" applyBorder="1" applyAlignment="1">
      <alignment horizontal="right" vertical="center" readingOrder="2"/>
    </xf>
    <xf numFmtId="0" fontId="4" fillId="7" borderId="7" xfId="0" applyFont="1" applyFill="1" applyBorder="1" applyAlignment="1">
      <alignment horizontal="center" vertical="center" wrapText="1"/>
    </xf>
    <xf numFmtId="166" fontId="7" fillId="0" borderId="12" xfId="1" applyNumberFormat="1" applyFont="1" applyBorder="1" applyAlignment="1">
      <alignment horizontal="right" vertical="center" wrapText="1"/>
    </xf>
    <xf numFmtId="166" fontId="7" fillId="0" borderId="2" xfId="1" applyNumberFormat="1" applyFont="1" applyBorder="1" applyAlignment="1">
      <alignment horizontal="right" vertical="center" wrapText="1"/>
    </xf>
    <xf numFmtId="166" fontId="7" fillId="0" borderId="2" xfId="1" applyNumberFormat="1" applyFont="1" applyBorder="1" applyAlignment="1">
      <alignment horizontal="right" vertical="center" wrapText="1" readingOrder="2"/>
    </xf>
    <xf numFmtId="166" fontId="17" fillId="7" borderId="15" xfId="1" applyNumberFormat="1" applyFont="1" applyFill="1" applyBorder="1" applyAlignment="1">
      <alignment horizontal="right" vertical="center"/>
    </xf>
    <xf numFmtId="167" fontId="17" fillId="7" borderId="15" xfId="1" applyNumberFormat="1" applyFont="1" applyFill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vertical="center" readingOrder="2"/>
    </xf>
    <xf numFmtId="4" fontId="7" fillId="0" borderId="30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vertical="center" readingOrder="2"/>
    </xf>
    <xf numFmtId="3" fontId="7" fillId="0" borderId="10" xfId="0" applyNumberFormat="1" applyFont="1" applyBorder="1" applyAlignment="1">
      <alignment vertical="center" readingOrder="2"/>
    </xf>
    <xf numFmtId="168" fontId="7" fillId="0" borderId="10" xfId="0" applyNumberFormat="1" applyFont="1" applyBorder="1" applyAlignment="1">
      <alignment vertical="center" readingOrder="2"/>
    </xf>
    <xf numFmtId="3" fontId="7" fillId="0" borderId="2" xfId="0" applyNumberFormat="1" applyFont="1" applyBorder="1" applyAlignment="1">
      <alignment vertical="center" readingOrder="2"/>
    </xf>
    <xf numFmtId="3" fontId="7" fillId="0" borderId="12" xfId="0" applyNumberFormat="1" applyFont="1" applyBorder="1" applyAlignment="1">
      <alignment vertical="center" readingOrder="2"/>
    </xf>
    <xf numFmtId="168" fontId="7" fillId="0" borderId="12" xfId="0" applyNumberFormat="1" applyFont="1" applyBorder="1" applyAlignment="1">
      <alignment vertical="center" readingOrder="2"/>
    </xf>
    <xf numFmtId="3" fontId="7" fillId="0" borderId="13" xfId="0" applyNumberFormat="1" applyFont="1" applyBorder="1" applyAlignment="1">
      <alignment vertical="center" readingOrder="2"/>
    </xf>
    <xf numFmtId="3" fontId="7" fillId="0" borderId="7" xfId="0" applyNumberFormat="1" applyFont="1" applyBorder="1" applyAlignment="1">
      <alignment vertical="center" readingOrder="2"/>
    </xf>
    <xf numFmtId="168" fontId="7" fillId="0" borderId="7" xfId="0" applyNumberFormat="1" applyFont="1" applyBorder="1" applyAlignment="1">
      <alignment vertical="center" readingOrder="2"/>
    </xf>
    <xf numFmtId="3" fontId="7" fillId="0" borderId="32" xfId="0" applyNumberFormat="1" applyFont="1" applyBorder="1" applyAlignment="1">
      <alignment vertical="center" readingOrder="2"/>
    </xf>
    <xf numFmtId="3" fontId="7" fillId="0" borderId="33" xfId="0" applyNumberFormat="1" applyFont="1" applyBorder="1" applyAlignment="1">
      <alignment vertical="center" readingOrder="2"/>
    </xf>
    <xf numFmtId="3" fontId="7" fillId="0" borderId="18" xfId="0" applyNumberFormat="1" applyFont="1" applyBorder="1" applyAlignment="1">
      <alignment vertical="center" readingOrder="2"/>
    </xf>
    <xf numFmtId="168" fontId="7" fillId="0" borderId="18" xfId="0" applyNumberFormat="1" applyFont="1" applyBorder="1" applyAlignment="1">
      <alignment vertical="center" readingOrder="2"/>
    </xf>
    <xf numFmtId="166" fontId="11" fillId="0" borderId="2" xfId="1" applyNumberFormat="1" applyFont="1" applyBorder="1" applyAlignment="1">
      <alignment vertical="center"/>
    </xf>
    <xf numFmtId="43" fontId="7" fillId="0" borderId="2" xfId="1" applyFont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7" fillId="7" borderId="6" xfId="0" applyFont="1" applyFill="1" applyBorder="1" applyAlignment="1">
      <alignment horizontal="right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4" fillId="6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15" fillId="0" borderId="2" xfId="2" applyFont="1" applyFill="1" applyBorder="1" applyAlignment="1">
      <alignment horizontal="right" vertical="center" wrapText="1"/>
    </xf>
    <xf numFmtId="0" fontId="15" fillId="0" borderId="10" xfId="2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right" vertical="center"/>
    </xf>
    <xf numFmtId="0" fontId="10" fillId="9" borderId="13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0" fillId="9" borderId="9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8" fillId="0" borderId="5" xfId="0" applyFont="1" applyBorder="1" applyAlignment="1">
      <alignment vertical="center"/>
    </xf>
    <xf numFmtId="0" fontId="15" fillId="7" borderId="6" xfId="2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5" fillId="0" borderId="13" xfId="2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34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18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/>
    </xf>
    <xf numFmtId="0" fontId="34" fillId="0" borderId="0" xfId="0" applyFont="1" applyFill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4" fillId="6" borderId="9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 wrapText="1"/>
    </xf>
    <xf numFmtId="0" fontId="38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17" xfId="0" applyFont="1" applyBorder="1" applyAlignment="1">
      <alignment vertical="center" wrapText="1" readingOrder="2"/>
    </xf>
    <xf numFmtId="0" fontId="4" fillId="6" borderId="9" xfId="2" applyFont="1" applyFill="1" applyBorder="1" applyAlignment="1">
      <alignment vertical="center" wrapText="1" readingOrder="2"/>
    </xf>
    <xf numFmtId="0" fontId="4" fillId="6" borderId="7" xfId="2" applyFont="1" applyFill="1" applyBorder="1" applyAlignment="1">
      <alignment vertical="center" wrapText="1" readingOrder="2"/>
    </xf>
    <xf numFmtId="0" fontId="4" fillId="6" borderId="14" xfId="2" applyFont="1" applyFill="1" applyBorder="1" applyAlignment="1">
      <alignment horizontal="center" vertical="center" wrapText="1" readingOrder="2"/>
    </xf>
    <xf numFmtId="0" fontId="33" fillId="0" borderId="0" xfId="2" applyFont="1" applyBorder="1" applyAlignment="1">
      <alignment horizontal="center" vertical="center" wrapText="1" readingOrder="2"/>
    </xf>
    <xf numFmtId="0" fontId="4" fillId="6" borderId="9" xfId="2" applyFont="1" applyFill="1" applyBorder="1" applyAlignment="1">
      <alignment horizontal="center" vertical="center" wrapText="1" readingOrder="2"/>
    </xf>
    <xf numFmtId="0" fontId="15" fillId="0" borderId="9" xfId="2" applyFont="1" applyFill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 readingOrder="2"/>
    </xf>
    <xf numFmtId="0" fontId="18" fillId="0" borderId="0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right" vertical="center" wrapText="1" readingOrder="2"/>
    </xf>
    <xf numFmtId="0" fontId="33" fillId="0" borderId="0" xfId="2" applyFont="1" applyBorder="1" applyAlignment="1">
      <alignment horizontal="center" vertical="center" wrapText="1"/>
    </xf>
    <xf numFmtId="0" fontId="33" fillId="0" borderId="0" xfId="2" applyFont="1" applyAlignment="1">
      <alignment horizontal="right" vertical="center"/>
    </xf>
    <xf numFmtId="0" fontId="4" fillId="6" borderId="9" xfId="2" applyFont="1" applyFill="1" applyBorder="1" applyAlignment="1">
      <alignment horizontal="right" vertical="center" wrapText="1"/>
    </xf>
    <xf numFmtId="0" fontId="4" fillId="6" borderId="7" xfId="2" applyFont="1" applyFill="1" applyBorder="1" applyAlignment="1">
      <alignment horizontal="right" vertical="center" wrapText="1"/>
    </xf>
    <xf numFmtId="0" fontId="4" fillId="6" borderId="9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right" vertical="center" readingOrder="2"/>
    </xf>
    <xf numFmtId="0" fontId="33" fillId="3" borderId="0" xfId="3" applyFont="1" applyFill="1" applyBorder="1" applyAlignment="1">
      <alignment horizontal="center" vertical="center" wrapText="1"/>
    </xf>
    <xf numFmtId="0" fontId="33" fillId="3" borderId="0" xfId="3" applyFont="1" applyFill="1" applyAlignment="1">
      <alignment vertical="center"/>
    </xf>
    <xf numFmtId="0" fontId="4" fillId="6" borderId="9" xfId="3" applyFont="1" applyFill="1" applyBorder="1" applyAlignment="1">
      <alignment horizontal="right" vertical="center" wrapText="1"/>
    </xf>
    <xf numFmtId="0" fontId="4" fillId="6" borderId="7" xfId="3" applyFont="1" applyFill="1" applyBorder="1" applyAlignment="1">
      <alignment horizontal="right" vertical="center" wrapText="1"/>
    </xf>
    <xf numFmtId="0" fontId="4" fillId="6" borderId="9" xfId="3" applyFont="1" applyFill="1" applyBorder="1" applyAlignment="1">
      <alignment horizontal="center" vertical="center" wrapText="1"/>
    </xf>
    <xf numFmtId="0" fontId="19" fillId="0" borderId="0" xfId="3" applyBorder="1" applyAlignment="1">
      <alignment horizontal="center" vertical="center" wrapText="1"/>
    </xf>
    <xf numFmtId="0" fontId="4" fillId="6" borderId="14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justify" vertical="center" wrapText="1"/>
    </xf>
    <xf numFmtId="166" fontId="7" fillId="7" borderId="3" xfId="1" applyNumberFormat="1" applyFont="1" applyFill="1" applyBorder="1" applyAlignment="1">
      <alignment vertical="center" wrapText="1"/>
    </xf>
    <xf numFmtId="166" fontId="7" fillId="7" borderId="7" xfId="1" applyNumberFormat="1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right" vertical="center" wrapText="1"/>
    </xf>
    <xf numFmtId="0" fontId="31" fillId="6" borderId="0" xfId="0" applyFont="1" applyFill="1" applyBorder="1" applyAlignment="1">
      <alignment horizontal="right" vertical="center" wrapText="1"/>
    </xf>
    <xf numFmtId="0" fontId="31" fillId="6" borderId="7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center" vertical="center" wrapText="1"/>
    </xf>
    <xf numFmtId="166" fontId="7" fillId="7" borderId="2" xfId="1" applyNumberFormat="1" applyFont="1" applyFill="1" applyBorder="1" applyAlignment="1">
      <alignment horizontal="center" vertical="center" wrapText="1"/>
    </xf>
    <xf numFmtId="166" fontId="7" fillId="7" borderId="12" xfId="1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right" vertical="center" wrapText="1" readingOrder="2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0" fillId="0" borderId="7" xfId="0" applyBorder="1"/>
    <xf numFmtId="168" fontId="4" fillId="6" borderId="9" xfId="0" applyNumberFormat="1" applyFont="1" applyFill="1" applyBorder="1" applyAlignment="1">
      <alignment horizontal="right" vertical="center" wrapText="1"/>
    </xf>
    <xf numFmtId="168" fontId="4" fillId="6" borderId="7" xfId="0" applyNumberFormat="1" applyFont="1" applyFill="1" applyBorder="1" applyAlignment="1">
      <alignment horizontal="right" vertical="center" wrapText="1"/>
    </xf>
    <xf numFmtId="0" fontId="41" fillId="0" borderId="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4" fillId="0" borderId="0" xfId="0" applyFont="1" applyBorder="1"/>
    <xf numFmtId="0" fontId="4" fillId="6" borderId="9" xfId="0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wrapText="1" readingOrder="2"/>
    </xf>
    <xf numFmtId="0" fontId="41" fillId="0" borderId="17" xfId="0" applyFont="1" applyBorder="1" applyAlignment="1">
      <alignment horizontal="right" vertical="center" wrapText="1"/>
    </xf>
    <xf numFmtId="0" fontId="12" fillId="0" borderId="8" xfId="0" applyFont="1" applyFill="1" applyBorder="1" applyAlignment="1">
      <alignment horizontal="center" vertical="center" wrapText="1"/>
    </xf>
    <xf numFmtId="166" fontId="4" fillId="6" borderId="14" xfId="1" applyNumberFormat="1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3" fontId="7" fillId="7" borderId="34" xfId="0" applyNumberFormat="1" applyFont="1" applyFill="1" applyBorder="1" applyAlignment="1">
      <alignment vertical="center" readingOrder="2"/>
    </xf>
    <xf numFmtId="168" fontId="7" fillId="7" borderId="34" xfId="0" applyNumberFormat="1" applyFont="1" applyFill="1" applyBorder="1" applyAlignment="1">
      <alignment vertical="center" readingOrder="2"/>
    </xf>
  </cellXfs>
  <cellStyles count="4">
    <cellStyle name="Comma" xfId="1" builtinId="3"/>
    <cellStyle name="Normal" xfId="0" builtinId="0"/>
    <cellStyle name="Normal_جداول الإخراج  الماء 23-3-2011" xfId="2"/>
    <cellStyle name="Normal_جداول الإخراج  الماء 24-3-201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G26"/>
  <sheetViews>
    <sheetView rightToLeft="1" view="pageBreakPreview" topLeftCell="A7" zoomScale="90" zoomScaleSheetLayoutView="90" workbookViewId="0">
      <selection sqref="A1:P1"/>
    </sheetView>
  </sheetViews>
  <sheetFormatPr defaultRowHeight="15" x14ac:dyDescent="0.25"/>
  <cols>
    <col min="1" max="1" width="4.140625" customWidth="1"/>
    <col min="2" max="2" width="10.42578125" customWidth="1"/>
    <col min="3" max="3" width="8" customWidth="1"/>
    <col min="4" max="4" width="7" customWidth="1"/>
    <col min="5" max="5" width="6.140625" customWidth="1"/>
    <col min="6" max="12" width="7" customWidth="1"/>
    <col min="13" max="14" width="8.7109375" customWidth="1"/>
    <col min="15" max="15" width="11.85546875" customWidth="1"/>
    <col min="16" max="16" width="10" customWidth="1"/>
    <col min="18" max="18" width="11.5703125" style="28" bestFit="1" customWidth="1"/>
    <col min="19" max="19" width="9.42578125" style="28" bestFit="1" customWidth="1"/>
    <col min="20" max="20" width="10.42578125" style="28" bestFit="1" customWidth="1"/>
    <col min="21" max="30" width="9.42578125" style="28" bestFit="1" customWidth="1"/>
    <col min="31" max="31" width="16.28515625" style="28" bestFit="1" customWidth="1"/>
    <col min="32" max="32" width="12.42578125" style="512" bestFit="1" customWidth="1"/>
    <col min="33" max="33" width="9.85546875" style="512" bestFit="1" customWidth="1"/>
  </cols>
  <sheetData>
    <row r="1" spans="1:33" ht="19.5" customHeight="1" x14ac:dyDescent="0.25">
      <c r="A1" s="765" t="s">
        <v>437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</row>
    <row r="2" spans="1:33" ht="22.5" customHeight="1" thickBot="1" x14ac:dyDescent="0.3">
      <c r="A2" s="766" t="s">
        <v>378</v>
      </c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</row>
    <row r="3" spans="1:33" ht="27" customHeight="1" thickTop="1" x14ac:dyDescent="0.25">
      <c r="A3" s="761" t="s">
        <v>331</v>
      </c>
      <c r="B3" s="761"/>
      <c r="C3" s="767" t="s">
        <v>233</v>
      </c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683" t="s">
        <v>332</v>
      </c>
      <c r="P3" s="683" t="s">
        <v>334</v>
      </c>
      <c r="AE3" s="511" t="s">
        <v>372</v>
      </c>
    </row>
    <row r="4" spans="1:33" ht="27" customHeight="1" x14ac:dyDescent="0.25">
      <c r="A4" s="762"/>
      <c r="B4" s="762"/>
      <c r="C4" s="688" t="s">
        <v>8</v>
      </c>
      <c r="D4" s="689" t="s">
        <v>9</v>
      </c>
      <c r="E4" s="689" t="s">
        <v>10</v>
      </c>
      <c r="F4" s="689" t="s">
        <v>11</v>
      </c>
      <c r="G4" s="689" t="s">
        <v>12</v>
      </c>
      <c r="H4" s="689" t="s">
        <v>13</v>
      </c>
      <c r="I4" s="689" t="s">
        <v>14</v>
      </c>
      <c r="J4" s="689" t="s">
        <v>15</v>
      </c>
      <c r="K4" s="689" t="s">
        <v>16</v>
      </c>
      <c r="L4" s="689" t="s">
        <v>17</v>
      </c>
      <c r="M4" s="689" t="s">
        <v>18</v>
      </c>
      <c r="N4" s="689" t="s">
        <v>19</v>
      </c>
      <c r="O4" s="684" t="s">
        <v>333</v>
      </c>
      <c r="P4" s="684" t="s">
        <v>335</v>
      </c>
      <c r="R4" s="619" t="s">
        <v>8</v>
      </c>
      <c r="S4" s="619" t="s">
        <v>9</v>
      </c>
      <c r="T4" s="619" t="s">
        <v>10</v>
      </c>
      <c r="U4" s="619" t="s">
        <v>11</v>
      </c>
      <c r="V4" s="619" t="s">
        <v>12</v>
      </c>
      <c r="W4" s="619" t="s">
        <v>13</v>
      </c>
      <c r="X4" s="619" t="s">
        <v>14</v>
      </c>
      <c r="Y4" s="619" t="s">
        <v>15</v>
      </c>
      <c r="Z4" s="619" t="s">
        <v>16</v>
      </c>
      <c r="AA4" s="619" t="s">
        <v>17</v>
      </c>
      <c r="AB4" s="619" t="s">
        <v>18</v>
      </c>
      <c r="AC4" s="619" t="s">
        <v>19</v>
      </c>
      <c r="AD4" s="28" t="s">
        <v>215</v>
      </c>
      <c r="AE4" s="24" t="s">
        <v>216</v>
      </c>
    </row>
    <row r="5" spans="1:33" ht="39" customHeight="1" x14ac:dyDescent="0.25">
      <c r="A5" s="769" t="s">
        <v>198</v>
      </c>
      <c r="B5" s="769"/>
      <c r="C5" s="704">
        <v>111</v>
      </c>
      <c r="D5" s="704">
        <v>95</v>
      </c>
      <c r="E5" s="704">
        <v>119</v>
      </c>
      <c r="F5" s="704">
        <v>160</v>
      </c>
      <c r="G5" s="704">
        <v>278</v>
      </c>
      <c r="H5" s="704">
        <v>673</v>
      </c>
      <c r="I5" s="704">
        <v>522</v>
      </c>
      <c r="J5" s="704">
        <v>397</v>
      </c>
      <c r="K5" s="704">
        <v>321</v>
      </c>
      <c r="L5" s="704">
        <v>480</v>
      </c>
      <c r="M5" s="704">
        <v>585</v>
      </c>
      <c r="N5" s="704">
        <v>608</v>
      </c>
      <c r="O5" s="296">
        <f t="shared" ref="O5:O10" si="0">AE5</f>
        <v>362.41666666666669</v>
      </c>
      <c r="P5" s="388">
        <f t="shared" ref="P5:P10" si="1">AG5</f>
        <v>11.429171999999999</v>
      </c>
      <c r="R5" s="691">
        <v>111</v>
      </c>
      <c r="S5" s="691">
        <v>95</v>
      </c>
      <c r="T5" s="691">
        <v>119</v>
      </c>
      <c r="U5" s="691">
        <v>160</v>
      </c>
      <c r="V5" s="691">
        <v>278</v>
      </c>
      <c r="W5" s="691">
        <v>673</v>
      </c>
      <c r="X5" s="691">
        <v>522</v>
      </c>
      <c r="Y5" s="691">
        <v>397</v>
      </c>
      <c r="Z5" s="691">
        <v>321</v>
      </c>
      <c r="AA5" s="691">
        <v>480</v>
      </c>
      <c r="AB5" s="691">
        <v>585</v>
      </c>
      <c r="AC5" s="691">
        <v>608</v>
      </c>
      <c r="AD5" s="620">
        <f>SUM(R5:AC5)</f>
        <v>4349</v>
      </c>
      <c r="AE5" s="621">
        <f>AD5/12</f>
        <v>362.41666666666669</v>
      </c>
      <c r="AF5" s="512">
        <f>AE5*60*60*24*365</f>
        <v>11429172000</v>
      </c>
      <c r="AG5" s="513">
        <f t="shared" ref="AG5:AG11" si="2">AF5/1000000000</f>
        <v>11.429171999999999</v>
      </c>
    </row>
    <row r="6" spans="1:33" ht="39" customHeight="1" x14ac:dyDescent="0.25">
      <c r="A6" s="770" t="s">
        <v>407</v>
      </c>
      <c r="B6" s="770"/>
      <c r="C6" s="705">
        <v>200</v>
      </c>
      <c r="D6" s="705">
        <v>100</v>
      </c>
      <c r="E6" s="705">
        <v>117</v>
      </c>
      <c r="F6" s="705">
        <v>175</v>
      </c>
      <c r="G6" s="705">
        <v>300</v>
      </c>
      <c r="H6" s="705">
        <v>700</v>
      </c>
      <c r="I6" s="705">
        <v>900</v>
      </c>
      <c r="J6" s="705">
        <v>700</v>
      </c>
      <c r="K6" s="705">
        <v>382</v>
      </c>
      <c r="L6" s="705">
        <v>175</v>
      </c>
      <c r="M6" s="705">
        <v>75</v>
      </c>
      <c r="N6" s="705">
        <v>70</v>
      </c>
      <c r="O6" s="389">
        <f t="shared" si="0"/>
        <v>324.5</v>
      </c>
      <c r="P6" s="390">
        <f t="shared" si="1"/>
        <v>10.233432000000001</v>
      </c>
      <c r="R6" s="692">
        <v>200</v>
      </c>
      <c r="S6" s="692">
        <v>100</v>
      </c>
      <c r="T6" s="692">
        <v>117</v>
      </c>
      <c r="U6" s="692">
        <v>175</v>
      </c>
      <c r="V6" s="692">
        <v>300</v>
      </c>
      <c r="W6" s="692">
        <v>700</v>
      </c>
      <c r="X6" s="692">
        <v>900</v>
      </c>
      <c r="Y6" s="692">
        <v>700</v>
      </c>
      <c r="Z6" s="692">
        <v>382</v>
      </c>
      <c r="AA6" s="692">
        <v>175</v>
      </c>
      <c r="AB6" s="692">
        <v>75</v>
      </c>
      <c r="AC6" s="692">
        <v>70</v>
      </c>
      <c r="AD6" s="624">
        <f t="shared" ref="AD6:AD8" si="3">SUM(R6:AC6)</f>
        <v>3894</v>
      </c>
      <c r="AE6" s="482">
        <f t="shared" ref="AE6:AE8" si="4">AD6/12</f>
        <v>324.5</v>
      </c>
      <c r="AF6" s="512">
        <f t="shared" ref="AF6:AF8" si="5">AE6*60*60*24*365</f>
        <v>10233432000</v>
      </c>
      <c r="AG6" s="513">
        <f t="shared" si="2"/>
        <v>10.233432000000001</v>
      </c>
    </row>
    <row r="7" spans="1:33" ht="39" customHeight="1" x14ac:dyDescent="0.25">
      <c r="A7" s="771" t="s">
        <v>217</v>
      </c>
      <c r="B7" s="771"/>
      <c r="C7" s="705">
        <v>41</v>
      </c>
      <c r="D7" s="705">
        <v>45</v>
      </c>
      <c r="E7" s="705">
        <v>79</v>
      </c>
      <c r="F7" s="705">
        <v>129</v>
      </c>
      <c r="G7" s="705">
        <v>273</v>
      </c>
      <c r="H7" s="705">
        <v>358</v>
      </c>
      <c r="I7" s="705">
        <v>339</v>
      </c>
      <c r="J7" s="705">
        <v>232</v>
      </c>
      <c r="K7" s="705">
        <v>98</v>
      </c>
      <c r="L7" s="705">
        <v>48</v>
      </c>
      <c r="M7" s="705">
        <v>1</v>
      </c>
      <c r="N7" s="705">
        <v>2</v>
      </c>
      <c r="O7" s="389">
        <f t="shared" si="0"/>
        <v>137.08333333333334</v>
      </c>
      <c r="P7" s="390">
        <f t="shared" si="1"/>
        <v>4.3230599999999999</v>
      </c>
      <c r="R7" s="692">
        <v>41</v>
      </c>
      <c r="S7" s="692">
        <v>45</v>
      </c>
      <c r="T7" s="692">
        <v>79</v>
      </c>
      <c r="U7" s="692">
        <v>129</v>
      </c>
      <c r="V7" s="692">
        <v>273</v>
      </c>
      <c r="W7" s="692">
        <v>358</v>
      </c>
      <c r="X7" s="692">
        <v>339</v>
      </c>
      <c r="Y7" s="692">
        <v>232</v>
      </c>
      <c r="Z7" s="692">
        <v>98</v>
      </c>
      <c r="AA7" s="692">
        <v>48</v>
      </c>
      <c r="AB7" s="692">
        <v>1</v>
      </c>
      <c r="AC7" s="692">
        <v>2</v>
      </c>
      <c r="AD7" s="622">
        <f t="shared" si="3"/>
        <v>1645</v>
      </c>
      <c r="AE7" s="482">
        <f t="shared" si="4"/>
        <v>137.08333333333334</v>
      </c>
      <c r="AF7" s="512">
        <f t="shared" si="5"/>
        <v>4323060000</v>
      </c>
      <c r="AG7" s="513">
        <f t="shared" si="2"/>
        <v>4.3230599999999999</v>
      </c>
    </row>
    <row r="8" spans="1:33" ht="39" customHeight="1" x14ac:dyDescent="0.25">
      <c r="A8" s="771" t="s">
        <v>408</v>
      </c>
      <c r="B8" s="771"/>
      <c r="C8" s="705">
        <v>32</v>
      </c>
      <c r="D8" s="705">
        <v>39</v>
      </c>
      <c r="E8" s="705">
        <v>57</v>
      </c>
      <c r="F8" s="705">
        <v>36</v>
      </c>
      <c r="G8" s="705">
        <v>63</v>
      </c>
      <c r="H8" s="705">
        <v>76</v>
      </c>
      <c r="I8" s="705">
        <v>36</v>
      </c>
      <c r="J8" s="705">
        <v>15</v>
      </c>
      <c r="K8" s="705">
        <v>2</v>
      </c>
      <c r="L8" s="705">
        <v>1</v>
      </c>
      <c r="M8" s="705">
        <v>1</v>
      </c>
      <c r="N8" s="705">
        <v>3</v>
      </c>
      <c r="O8" s="618">
        <f t="shared" si="0"/>
        <v>30.083333333333332</v>
      </c>
      <c r="P8" s="390">
        <f t="shared" si="1"/>
        <v>0.948708</v>
      </c>
      <c r="R8" s="692">
        <v>32</v>
      </c>
      <c r="S8" s="692">
        <v>39</v>
      </c>
      <c r="T8" s="692">
        <v>57</v>
      </c>
      <c r="U8" s="692">
        <v>36</v>
      </c>
      <c r="V8" s="692">
        <v>63</v>
      </c>
      <c r="W8" s="692">
        <v>76</v>
      </c>
      <c r="X8" s="692">
        <v>36</v>
      </c>
      <c r="Y8" s="692">
        <v>15</v>
      </c>
      <c r="Z8" s="692">
        <v>2</v>
      </c>
      <c r="AA8" s="692">
        <v>1</v>
      </c>
      <c r="AB8" s="692">
        <v>1</v>
      </c>
      <c r="AC8" s="692">
        <v>3</v>
      </c>
      <c r="AD8" s="623">
        <f t="shared" si="3"/>
        <v>361</v>
      </c>
      <c r="AE8" s="482">
        <f t="shared" si="4"/>
        <v>30.083333333333332</v>
      </c>
      <c r="AF8" s="512">
        <f t="shared" si="5"/>
        <v>948708000</v>
      </c>
      <c r="AG8" s="513">
        <f t="shared" si="2"/>
        <v>0.948708</v>
      </c>
    </row>
    <row r="9" spans="1:33" ht="39" customHeight="1" x14ac:dyDescent="0.25">
      <c r="A9" s="771" t="s">
        <v>218</v>
      </c>
      <c r="B9" s="771"/>
      <c r="C9" s="705">
        <v>64</v>
      </c>
      <c r="D9" s="705">
        <v>72</v>
      </c>
      <c r="E9" s="705">
        <v>56</v>
      </c>
      <c r="F9" s="705">
        <v>63</v>
      </c>
      <c r="G9" s="705">
        <v>116</v>
      </c>
      <c r="H9" s="705">
        <v>154</v>
      </c>
      <c r="I9" s="705">
        <v>157</v>
      </c>
      <c r="J9" s="705">
        <v>72</v>
      </c>
      <c r="K9" s="705">
        <v>56</v>
      </c>
      <c r="L9" s="705">
        <v>77</v>
      </c>
      <c r="M9" s="705">
        <v>36</v>
      </c>
      <c r="N9" s="705">
        <v>28</v>
      </c>
      <c r="O9" s="389">
        <f t="shared" si="0"/>
        <v>79.25</v>
      </c>
      <c r="P9" s="390">
        <f t="shared" si="1"/>
        <v>2.499228</v>
      </c>
      <c r="R9" s="692">
        <v>64</v>
      </c>
      <c r="S9" s="692">
        <v>72</v>
      </c>
      <c r="T9" s="692">
        <v>56</v>
      </c>
      <c r="U9" s="692">
        <v>63</v>
      </c>
      <c r="V9" s="692">
        <v>116</v>
      </c>
      <c r="W9" s="692">
        <v>154</v>
      </c>
      <c r="X9" s="692">
        <v>157</v>
      </c>
      <c r="Y9" s="692">
        <v>72</v>
      </c>
      <c r="Z9" s="692">
        <v>56</v>
      </c>
      <c r="AA9" s="692">
        <v>77</v>
      </c>
      <c r="AB9" s="692">
        <v>36</v>
      </c>
      <c r="AC9" s="692">
        <v>28</v>
      </c>
      <c r="AD9" s="24">
        <f>SUM(R9:AC9)</f>
        <v>951</v>
      </c>
      <c r="AE9" s="482">
        <f>AD9/12</f>
        <v>79.25</v>
      </c>
      <c r="AF9" s="512">
        <f>AE9*60*60*24*365</f>
        <v>2499228000</v>
      </c>
      <c r="AG9" s="513">
        <f t="shared" si="2"/>
        <v>2.499228</v>
      </c>
    </row>
    <row r="10" spans="1:33" ht="39" customHeight="1" x14ac:dyDescent="0.25">
      <c r="A10" s="772" t="s">
        <v>409</v>
      </c>
      <c r="B10" s="772"/>
      <c r="C10" s="706">
        <v>779</v>
      </c>
      <c r="D10" s="706">
        <v>720</v>
      </c>
      <c r="E10" s="706">
        <v>800</v>
      </c>
      <c r="F10" s="706">
        <v>866</v>
      </c>
      <c r="G10" s="706">
        <v>854</v>
      </c>
      <c r="H10" s="706">
        <v>913</v>
      </c>
      <c r="I10" s="706">
        <v>725</v>
      </c>
      <c r="J10" s="706">
        <v>492</v>
      </c>
      <c r="K10" s="706">
        <v>346</v>
      </c>
      <c r="L10" s="706">
        <v>280</v>
      </c>
      <c r="M10" s="706">
        <v>398</v>
      </c>
      <c r="N10" s="706">
        <v>527</v>
      </c>
      <c r="O10" s="618">
        <f t="shared" si="0"/>
        <v>641.66666666666663</v>
      </c>
      <c r="P10" s="626">
        <f t="shared" si="1"/>
        <v>20.235600000000002</v>
      </c>
      <c r="R10" s="693">
        <v>779</v>
      </c>
      <c r="S10" s="694">
        <v>720</v>
      </c>
      <c r="T10" s="694">
        <v>800</v>
      </c>
      <c r="U10" s="694">
        <v>866</v>
      </c>
      <c r="V10" s="694">
        <v>854</v>
      </c>
      <c r="W10" s="694">
        <v>913</v>
      </c>
      <c r="X10" s="694">
        <v>725</v>
      </c>
      <c r="Y10" s="694">
        <v>492</v>
      </c>
      <c r="Z10" s="694">
        <v>346</v>
      </c>
      <c r="AA10" s="694">
        <v>280</v>
      </c>
      <c r="AB10" s="694">
        <v>398</v>
      </c>
      <c r="AC10" s="694">
        <v>527</v>
      </c>
      <c r="AD10" s="24">
        <f>SUM(R10:AC10)</f>
        <v>7700</v>
      </c>
      <c r="AE10" s="482">
        <f>AD10/12</f>
        <v>641.66666666666663</v>
      </c>
      <c r="AF10" s="512">
        <f t="shared" ref="AF10:AF13" si="6">AE10*60*60*24*365</f>
        <v>20235600000</v>
      </c>
      <c r="AG10" s="513">
        <f t="shared" si="2"/>
        <v>20.235600000000002</v>
      </c>
    </row>
    <row r="11" spans="1:33" ht="39" customHeight="1" thickBot="1" x14ac:dyDescent="0.3">
      <c r="A11" s="764" t="s">
        <v>25</v>
      </c>
      <c r="B11" s="764"/>
      <c r="C11" s="690">
        <f t="shared" ref="C11:P11" si="7">SUM(C5:C10)</f>
        <v>1227</v>
      </c>
      <c r="D11" s="690">
        <f t="shared" si="7"/>
        <v>1071</v>
      </c>
      <c r="E11" s="690">
        <f t="shared" si="7"/>
        <v>1228</v>
      </c>
      <c r="F11" s="690">
        <f t="shared" si="7"/>
        <v>1429</v>
      </c>
      <c r="G11" s="690">
        <f t="shared" si="7"/>
        <v>1884</v>
      </c>
      <c r="H11" s="690">
        <f t="shared" si="7"/>
        <v>2874</v>
      </c>
      <c r="I11" s="690">
        <f t="shared" si="7"/>
        <v>2679</v>
      </c>
      <c r="J11" s="690">
        <f t="shared" si="7"/>
        <v>1908</v>
      </c>
      <c r="K11" s="690">
        <f t="shared" si="7"/>
        <v>1205</v>
      </c>
      <c r="L11" s="690">
        <f t="shared" si="7"/>
        <v>1061</v>
      </c>
      <c r="M11" s="690">
        <f t="shared" si="7"/>
        <v>1096</v>
      </c>
      <c r="N11" s="690">
        <f t="shared" si="7"/>
        <v>1238</v>
      </c>
      <c r="O11" s="627">
        <f t="shared" si="7"/>
        <v>1575</v>
      </c>
      <c r="P11" s="628">
        <f t="shared" si="7"/>
        <v>49.669200000000004</v>
      </c>
      <c r="R11" s="690">
        <f t="shared" ref="R11:AC11" si="8">SUM(R5:R10)</f>
        <v>1227</v>
      </c>
      <c r="S11" s="690">
        <f t="shared" si="8"/>
        <v>1071</v>
      </c>
      <c r="T11" s="690">
        <f t="shared" si="8"/>
        <v>1228</v>
      </c>
      <c r="U11" s="690">
        <f t="shared" si="8"/>
        <v>1429</v>
      </c>
      <c r="V11" s="690">
        <f t="shared" si="8"/>
        <v>1884</v>
      </c>
      <c r="W11" s="690">
        <f t="shared" si="8"/>
        <v>2874</v>
      </c>
      <c r="X11" s="690">
        <f t="shared" si="8"/>
        <v>2679</v>
      </c>
      <c r="Y11" s="690">
        <f t="shared" si="8"/>
        <v>1908</v>
      </c>
      <c r="Z11" s="690">
        <f t="shared" si="8"/>
        <v>1205</v>
      </c>
      <c r="AA11" s="690">
        <f t="shared" si="8"/>
        <v>1061</v>
      </c>
      <c r="AB11" s="690">
        <f t="shared" si="8"/>
        <v>1096</v>
      </c>
      <c r="AC11" s="690">
        <f t="shared" si="8"/>
        <v>1238</v>
      </c>
      <c r="AD11" s="625">
        <f>SUM(R11:AC11)</f>
        <v>18900</v>
      </c>
      <c r="AE11" s="482">
        <f>AD11/12</f>
        <v>1575</v>
      </c>
      <c r="AF11" s="512">
        <f t="shared" si="6"/>
        <v>49669200000</v>
      </c>
      <c r="AG11" s="513">
        <f t="shared" si="2"/>
        <v>49.669199999999996</v>
      </c>
    </row>
    <row r="12" spans="1:33" ht="7.5" customHeight="1" thickTop="1" x14ac:dyDescent="0.25">
      <c r="A12" s="2"/>
      <c r="B12" s="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33" ht="25.5" customHeight="1" x14ac:dyDescent="0.25">
      <c r="A13" s="768" t="s">
        <v>4</v>
      </c>
      <c r="B13" s="768"/>
      <c r="C13" s="768"/>
      <c r="D13" s="768"/>
      <c r="E13" s="768"/>
      <c r="F13" s="768"/>
      <c r="G13" s="768"/>
      <c r="H13" s="768"/>
      <c r="I13" s="768"/>
      <c r="J13" s="768"/>
      <c r="K13" s="768"/>
      <c r="L13" s="142"/>
      <c r="M13" s="142"/>
      <c r="N13" s="142"/>
      <c r="O13" s="142"/>
      <c r="P13" s="142"/>
      <c r="AF13" s="1">
        <f t="shared" si="6"/>
        <v>0</v>
      </c>
    </row>
    <row r="14" spans="1:33" ht="25.5" customHeight="1" x14ac:dyDescent="0.25">
      <c r="A14" s="682"/>
      <c r="B14" s="682"/>
      <c r="C14" s="682"/>
      <c r="D14" s="682"/>
      <c r="E14" s="682"/>
      <c r="F14" s="682"/>
      <c r="G14" s="682"/>
      <c r="H14" s="682"/>
      <c r="I14" s="682"/>
      <c r="J14" s="682"/>
      <c r="K14" s="682"/>
      <c r="L14" s="142"/>
      <c r="M14" s="142"/>
      <c r="N14" s="142"/>
      <c r="O14" s="142"/>
      <c r="P14" s="142"/>
      <c r="AF14" s="1"/>
    </row>
    <row r="15" spans="1:33" ht="25.5" customHeight="1" x14ac:dyDescent="0.25">
      <c r="A15" s="682"/>
      <c r="B15" s="682"/>
      <c r="C15" s="682"/>
      <c r="D15" s="682"/>
      <c r="E15" s="682"/>
      <c r="F15" s="682"/>
      <c r="G15" s="682"/>
      <c r="H15" s="682"/>
      <c r="I15" s="682"/>
      <c r="J15" s="682"/>
      <c r="K15" s="682"/>
      <c r="L15" s="142"/>
      <c r="M15" s="142"/>
      <c r="N15" s="142"/>
      <c r="O15" s="142"/>
      <c r="P15" s="142"/>
      <c r="AF15" s="1"/>
    </row>
    <row r="16" spans="1:33" ht="25.5" customHeight="1" x14ac:dyDescent="0.25">
      <c r="A16" s="682"/>
      <c r="B16" s="682"/>
      <c r="C16" s="682"/>
      <c r="D16" s="682"/>
      <c r="E16" s="682"/>
      <c r="F16" s="682"/>
      <c r="G16" s="682"/>
      <c r="H16" s="682"/>
      <c r="I16" s="682"/>
      <c r="J16" s="682"/>
      <c r="K16" s="682"/>
      <c r="L16" s="142"/>
      <c r="M16" s="142"/>
      <c r="N16" s="142"/>
      <c r="O16" s="142"/>
      <c r="P16" s="142"/>
      <c r="AF16" s="1"/>
    </row>
    <row r="17" spans="1:31" ht="24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31" ht="24.75" customHeight="1" x14ac:dyDescent="0.25">
      <c r="A18" s="763" t="s">
        <v>228</v>
      </c>
      <c r="B18" s="763"/>
      <c r="C18" s="763"/>
      <c r="D18" s="763"/>
      <c r="E18" s="763"/>
      <c r="F18" s="763"/>
      <c r="G18" s="763"/>
      <c r="H18" s="763"/>
      <c r="I18" s="104"/>
      <c r="J18" s="104"/>
      <c r="K18" s="104"/>
      <c r="L18" s="104"/>
      <c r="M18" s="104"/>
      <c r="N18" s="104"/>
      <c r="O18" s="104"/>
      <c r="P18" s="43">
        <v>15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E18" s="29"/>
    </row>
    <row r="21" spans="1:31" x14ac:dyDescent="0.25">
      <c r="L21">
        <f>93.51/33.2</f>
        <v>2.8165662650602408</v>
      </c>
    </row>
    <row r="22" spans="1:31" x14ac:dyDescent="0.25">
      <c r="L22">
        <f>L21-1</f>
        <v>1.8165662650602408</v>
      </c>
    </row>
    <row r="23" spans="1:31" x14ac:dyDescent="0.25">
      <c r="L23">
        <f>L22*100</f>
        <v>181.65662650602408</v>
      </c>
      <c r="O23" s="514" t="e">
        <f>P10+#REF!+P8</f>
        <v>#REF!</v>
      </c>
    </row>
    <row r="25" spans="1:31" x14ac:dyDescent="0.25">
      <c r="C25">
        <f>C5*24*60*60*31</f>
        <v>297302400</v>
      </c>
      <c r="D25">
        <f t="shared" ref="D25:N25" si="9">C5*60*60*24*31</f>
        <v>297302400</v>
      </c>
      <c r="E25">
        <f t="shared" si="9"/>
        <v>254448000</v>
      </c>
      <c r="F25">
        <f t="shared" si="9"/>
        <v>318729600</v>
      </c>
      <c r="G25">
        <f t="shared" si="9"/>
        <v>428544000</v>
      </c>
      <c r="H25">
        <f t="shared" si="9"/>
        <v>744595200</v>
      </c>
      <c r="I25">
        <f t="shared" si="9"/>
        <v>1802563200</v>
      </c>
      <c r="J25">
        <f t="shared" si="9"/>
        <v>1398124800</v>
      </c>
      <c r="K25">
        <f t="shared" si="9"/>
        <v>1063324800</v>
      </c>
      <c r="L25">
        <f t="shared" si="9"/>
        <v>859766400</v>
      </c>
      <c r="M25">
        <f t="shared" si="9"/>
        <v>1285632000</v>
      </c>
      <c r="N25">
        <f t="shared" si="9"/>
        <v>1566864000</v>
      </c>
    </row>
    <row r="26" spans="1:31" x14ac:dyDescent="0.25">
      <c r="C26">
        <f>C25/1000000000</f>
        <v>0.29730240000000002</v>
      </c>
      <c r="D26">
        <f t="shared" ref="D26:N26" si="10">D25/1000000000</f>
        <v>0.29730240000000002</v>
      </c>
      <c r="E26">
        <f t="shared" si="10"/>
        <v>0.25444800000000001</v>
      </c>
      <c r="F26">
        <f t="shared" si="10"/>
        <v>0.3187296</v>
      </c>
      <c r="G26">
        <f t="shared" si="10"/>
        <v>0.42854399999999998</v>
      </c>
      <c r="H26">
        <f t="shared" si="10"/>
        <v>0.74459520000000001</v>
      </c>
      <c r="I26">
        <f t="shared" si="10"/>
        <v>1.8025632</v>
      </c>
      <c r="J26">
        <f t="shared" si="10"/>
        <v>1.3981247999999999</v>
      </c>
      <c r="K26">
        <f t="shared" si="10"/>
        <v>1.0633248</v>
      </c>
      <c r="L26">
        <f t="shared" si="10"/>
        <v>0.85976640000000004</v>
      </c>
      <c r="M26">
        <f t="shared" si="10"/>
        <v>1.2856320000000001</v>
      </c>
      <c r="N26">
        <f t="shared" si="10"/>
        <v>1.566864</v>
      </c>
      <c r="O26">
        <f>SUM(C26:N26)</f>
        <v>10.317196800000001</v>
      </c>
    </row>
  </sheetData>
  <mergeCells count="13">
    <mergeCell ref="A3:B4"/>
    <mergeCell ref="A18:H18"/>
    <mergeCell ref="A11:B11"/>
    <mergeCell ref="A1:P1"/>
    <mergeCell ref="A2:P2"/>
    <mergeCell ref="C3:N3"/>
    <mergeCell ref="A13:K13"/>
    <mergeCell ref="A5:B5"/>
    <mergeCell ref="A6:B6"/>
    <mergeCell ref="A7:B7"/>
    <mergeCell ref="A8:B8"/>
    <mergeCell ref="A9:B9"/>
    <mergeCell ref="A10:B10"/>
  </mergeCells>
  <printOptions horizontalCentered="1"/>
  <pageMargins left="0.45" right="0.45" top="0.5" bottom="0.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26"/>
  <sheetViews>
    <sheetView rightToLeft="1" view="pageBreakPreview" topLeftCell="A7" zoomScale="80" zoomScaleSheetLayoutView="80" workbookViewId="0">
      <selection sqref="A1:J1"/>
    </sheetView>
  </sheetViews>
  <sheetFormatPr defaultColWidth="10.42578125" defaultRowHeight="15" x14ac:dyDescent="0.25"/>
  <cols>
    <col min="1" max="1" width="11.85546875" customWidth="1"/>
    <col min="2" max="2" width="10.140625" customWidth="1"/>
    <col min="3" max="3" width="9.28515625" customWidth="1"/>
    <col min="4" max="10" width="15.7109375" customWidth="1"/>
  </cols>
  <sheetData>
    <row r="1" spans="1:18" ht="22.5" customHeight="1" x14ac:dyDescent="0.25">
      <c r="A1" s="825" t="s">
        <v>445</v>
      </c>
      <c r="B1" s="825"/>
      <c r="C1" s="825"/>
      <c r="D1" s="825"/>
      <c r="E1" s="825"/>
      <c r="F1" s="825"/>
      <c r="G1" s="825"/>
      <c r="H1" s="825"/>
      <c r="I1" s="825"/>
      <c r="J1" s="825"/>
    </row>
    <row r="2" spans="1:18" ht="22.5" customHeight="1" thickBot="1" x14ac:dyDescent="0.3">
      <c r="A2" s="826" t="s">
        <v>384</v>
      </c>
      <c r="B2" s="826"/>
      <c r="C2" s="826"/>
      <c r="D2" s="826"/>
      <c r="E2" s="826"/>
      <c r="F2" s="826"/>
      <c r="G2" s="826"/>
      <c r="H2" s="826"/>
      <c r="I2" s="826"/>
      <c r="J2" s="826"/>
    </row>
    <row r="3" spans="1:18" ht="29.25" customHeight="1" thickTop="1" x14ac:dyDescent="0.25">
      <c r="A3" s="792" t="s">
        <v>74</v>
      </c>
      <c r="B3" s="761" t="s">
        <v>254</v>
      </c>
      <c r="C3" s="761"/>
      <c r="D3" s="407" t="s">
        <v>279</v>
      </c>
      <c r="E3" s="407" t="s">
        <v>340</v>
      </c>
      <c r="F3" s="407" t="s">
        <v>341</v>
      </c>
      <c r="G3" s="761" t="s">
        <v>347</v>
      </c>
      <c r="H3" s="761"/>
      <c r="I3" s="761"/>
      <c r="J3" s="792" t="s">
        <v>250</v>
      </c>
    </row>
    <row r="4" spans="1:18" ht="25.5" customHeight="1" x14ac:dyDescent="0.25">
      <c r="A4" s="806"/>
      <c r="B4" s="255" t="s">
        <v>278</v>
      </c>
      <c r="C4" s="255" t="s">
        <v>252</v>
      </c>
      <c r="D4" s="300" t="s">
        <v>280</v>
      </c>
      <c r="E4" s="300" t="s">
        <v>280</v>
      </c>
      <c r="F4" s="300" t="s">
        <v>280</v>
      </c>
      <c r="G4" s="250" t="s">
        <v>281</v>
      </c>
      <c r="H4" s="250" t="s">
        <v>282</v>
      </c>
      <c r="I4" s="250" t="s">
        <v>25</v>
      </c>
      <c r="J4" s="806"/>
    </row>
    <row r="5" spans="1:18" s="19" customFormat="1" ht="22.5" customHeight="1" x14ac:dyDescent="0.25">
      <c r="A5" s="571" t="s">
        <v>75</v>
      </c>
      <c r="B5" s="241">
        <v>97</v>
      </c>
      <c r="C5" s="542">
        <f>B5/3600*100</f>
        <v>2.6944444444444446</v>
      </c>
      <c r="D5" s="328">
        <v>335400</v>
      </c>
      <c r="E5" s="328">
        <v>301860</v>
      </c>
      <c r="F5" s="328">
        <v>209625</v>
      </c>
      <c r="G5" s="241">
        <v>335400</v>
      </c>
      <c r="H5" s="241">
        <v>8975</v>
      </c>
      <c r="I5" s="241">
        <f t="shared" ref="I5:I21" si="0">SUM(G5:H5)</f>
        <v>344375</v>
      </c>
      <c r="J5" s="522">
        <f t="shared" ref="J5:J15" si="1">F5/D5*100</f>
        <v>62.5</v>
      </c>
    </row>
    <row r="6" spans="1:18" s="285" customFormat="1" ht="22.5" customHeight="1" x14ac:dyDescent="0.25">
      <c r="A6" s="571" t="s">
        <v>76</v>
      </c>
      <c r="B6" s="435">
        <v>97</v>
      </c>
      <c r="C6" s="542">
        <f t="shared" ref="C6:C21" si="2">B6/3600*100</f>
        <v>2.6944444444444446</v>
      </c>
      <c r="D6" s="574">
        <v>366840</v>
      </c>
      <c r="E6" s="574">
        <v>243129</v>
      </c>
      <c r="F6" s="574">
        <v>108212</v>
      </c>
      <c r="G6" s="435">
        <v>119033</v>
      </c>
      <c r="H6" s="435">
        <v>0</v>
      </c>
      <c r="I6" s="435">
        <f t="shared" si="0"/>
        <v>119033</v>
      </c>
      <c r="J6" s="522">
        <f t="shared" si="1"/>
        <v>29.498418929233456</v>
      </c>
      <c r="K6" s="572"/>
      <c r="L6" s="572"/>
      <c r="M6" s="572"/>
      <c r="N6" s="572"/>
      <c r="O6" s="573"/>
      <c r="P6" s="564"/>
      <c r="Q6" s="564"/>
      <c r="R6" s="564"/>
    </row>
    <row r="7" spans="1:18" s="285" customFormat="1" ht="22.5" customHeight="1" x14ac:dyDescent="0.2">
      <c r="A7" s="239" t="s">
        <v>77</v>
      </c>
      <c r="B7" s="241">
        <v>189</v>
      </c>
      <c r="C7" s="542">
        <f t="shared" si="2"/>
        <v>5.25</v>
      </c>
      <c r="D7" s="328">
        <v>117650</v>
      </c>
      <c r="E7" s="328">
        <v>99805</v>
      </c>
      <c r="F7" s="328">
        <v>99805</v>
      </c>
      <c r="G7" s="241">
        <v>117650</v>
      </c>
      <c r="H7" s="241">
        <v>0</v>
      </c>
      <c r="I7" s="241">
        <f t="shared" si="0"/>
        <v>117650</v>
      </c>
      <c r="J7" s="522">
        <f t="shared" si="1"/>
        <v>84.832129196770083</v>
      </c>
      <c r="K7" s="437"/>
      <c r="L7" s="541"/>
      <c r="M7" s="438"/>
      <c r="N7" s="438"/>
      <c r="O7" s="543"/>
      <c r="P7" s="543"/>
      <c r="Q7" s="543"/>
    </row>
    <row r="8" spans="1:18" s="285" customFormat="1" ht="22.5" customHeight="1" x14ac:dyDescent="0.2">
      <c r="A8" s="239" t="s">
        <v>330</v>
      </c>
      <c r="B8" s="241">
        <v>495</v>
      </c>
      <c r="C8" s="542">
        <f t="shared" si="2"/>
        <v>13.750000000000002</v>
      </c>
      <c r="D8" s="328">
        <v>466800</v>
      </c>
      <c r="E8" s="328">
        <v>370560</v>
      </c>
      <c r="F8" s="328">
        <v>296448</v>
      </c>
      <c r="G8" s="241">
        <v>355738</v>
      </c>
      <c r="H8" s="241">
        <v>0</v>
      </c>
      <c r="I8" s="241">
        <f t="shared" si="0"/>
        <v>355738</v>
      </c>
      <c r="J8" s="522">
        <f t="shared" si="1"/>
        <v>63.506426735218511</v>
      </c>
      <c r="K8" s="437"/>
      <c r="L8" s="541"/>
      <c r="M8" s="438"/>
      <c r="N8" s="438"/>
      <c r="O8" s="543"/>
      <c r="P8" s="543"/>
      <c r="Q8" s="543"/>
    </row>
    <row r="9" spans="1:18" s="285" customFormat="1" ht="22.5" customHeight="1" x14ac:dyDescent="0.2">
      <c r="A9" s="239" t="s">
        <v>88</v>
      </c>
      <c r="B9" s="241">
        <v>104</v>
      </c>
      <c r="C9" s="542">
        <f t="shared" si="2"/>
        <v>2.8888888888888888</v>
      </c>
      <c r="D9" s="328">
        <v>286200</v>
      </c>
      <c r="E9" s="328">
        <v>230000</v>
      </c>
      <c r="F9" s="328">
        <v>199612</v>
      </c>
      <c r="G9" s="241">
        <v>250000</v>
      </c>
      <c r="H9" s="241">
        <v>0</v>
      </c>
      <c r="I9" s="241">
        <f t="shared" si="0"/>
        <v>250000</v>
      </c>
      <c r="J9" s="522">
        <f t="shared" si="1"/>
        <v>69.745632424877712</v>
      </c>
      <c r="K9" s="437"/>
      <c r="L9" s="541"/>
      <c r="M9" s="437"/>
      <c r="N9" s="437"/>
    </row>
    <row r="10" spans="1:18" s="285" customFormat="1" ht="22.5" customHeight="1" x14ac:dyDescent="0.2">
      <c r="A10" s="239" t="s">
        <v>79</v>
      </c>
      <c r="B10" s="241">
        <v>252</v>
      </c>
      <c r="C10" s="542">
        <f t="shared" si="2"/>
        <v>7.0000000000000009</v>
      </c>
      <c r="D10" s="328">
        <v>427232</v>
      </c>
      <c r="E10" s="328">
        <v>161902</v>
      </c>
      <c r="F10" s="328">
        <v>161902</v>
      </c>
      <c r="G10" s="241">
        <v>178092</v>
      </c>
      <c r="H10" s="241">
        <v>0</v>
      </c>
      <c r="I10" s="241">
        <f t="shared" si="0"/>
        <v>178092</v>
      </c>
      <c r="J10" s="522">
        <f t="shared" si="1"/>
        <v>37.89556962025317</v>
      </c>
      <c r="K10" s="437"/>
      <c r="L10" s="541"/>
      <c r="M10" s="437"/>
      <c r="N10" s="437"/>
    </row>
    <row r="11" spans="1:18" s="285" customFormat="1" ht="22.5" customHeight="1" x14ac:dyDescent="0.2">
      <c r="A11" s="239" t="s">
        <v>81</v>
      </c>
      <c r="B11" s="241">
        <v>317</v>
      </c>
      <c r="C11" s="542">
        <f t="shared" si="2"/>
        <v>8.8055555555555554</v>
      </c>
      <c r="D11" s="328">
        <v>555912</v>
      </c>
      <c r="E11" s="328">
        <v>528116</v>
      </c>
      <c r="F11" s="328">
        <v>460550</v>
      </c>
      <c r="G11" s="328">
        <v>589591</v>
      </c>
      <c r="H11" s="328">
        <v>0</v>
      </c>
      <c r="I11" s="241">
        <f t="shared" si="0"/>
        <v>589591</v>
      </c>
      <c r="J11" s="522">
        <f t="shared" si="1"/>
        <v>82.845846105138946</v>
      </c>
      <c r="K11" s="437"/>
      <c r="L11" s="541"/>
      <c r="M11" s="437"/>
      <c r="N11" s="437"/>
    </row>
    <row r="12" spans="1:18" s="285" customFormat="1" ht="22.5" customHeight="1" x14ac:dyDescent="0.2">
      <c r="A12" s="239" t="s">
        <v>73</v>
      </c>
      <c r="B12" s="241">
        <v>106</v>
      </c>
      <c r="C12" s="542">
        <f t="shared" si="2"/>
        <v>2.9444444444444442</v>
      </c>
      <c r="D12" s="328">
        <v>108288</v>
      </c>
      <c r="E12" s="328">
        <v>97459</v>
      </c>
      <c r="F12" s="328">
        <v>92044</v>
      </c>
      <c r="G12" s="237">
        <v>119116</v>
      </c>
      <c r="H12" s="237">
        <v>0</v>
      </c>
      <c r="I12" s="237">
        <f t="shared" si="0"/>
        <v>119116</v>
      </c>
      <c r="J12" s="522">
        <f t="shared" si="1"/>
        <v>84.999261229314413</v>
      </c>
      <c r="K12" s="437"/>
      <c r="L12" s="541"/>
      <c r="M12" s="437"/>
      <c r="N12" s="437"/>
    </row>
    <row r="13" spans="1:18" s="284" customFormat="1" ht="22.5" customHeight="1" x14ac:dyDescent="0.2">
      <c r="A13" s="239" t="s">
        <v>80</v>
      </c>
      <c r="B13" s="237">
        <v>307</v>
      </c>
      <c r="C13" s="542">
        <f t="shared" si="2"/>
        <v>8.5277777777777768</v>
      </c>
      <c r="D13" s="328">
        <v>811310</v>
      </c>
      <c r="E13" s="328">
        <v>507068</v>
      </c>
      <c r="F13" s="328">
        <v>338045</v>
      </c>
      <c r="G13" s="237">
        <v>354947</v>
      </c>
      <c r="H13" s="237">
        <v>0</v>
      </c>
      <c r="I13" s="241">
        <f t="shared" si="0"/>
        <v>354947</v>
      </c>
      <c r="J13" s="522">
        <f t="shared" si="1"/>
        <v>41.666563952126808</v>
      </c>
      <c r="K13" s="437"/>
      <c r="L13" s="541"/>
      <c r="M13" s="437"/>
      <c r="N13" s="437"/>
    </row>
    <row r="14" spans="1:18" s="284" customFormat="1" ht="22.5" customHeight="1" x14ac:dyDescent="0.2">
      <c r="A14" s="239" t="s">
        <v>78</v>
      </c>
      <c r="B14" s="241">
        <v>280</v>
      </c>
      <c r="C14" s="542">
        <f t="shared" si="2"/>
        <v>7.7777777777777777</v>
      </c>
      <c r="D14" s="328">
        <v>874272</v>
      </c>
      <c r="E14" s="328">
        <v>677880</v>
      </c>
      <c r="F14" s="328">
        <v>220151</v>
      </c>
      <c r="G14" s="241">
        <v>396272</v>
      </c>
      <c r="H14" s="241">
        <v>0</v>
      </c>
      <c r="I14" s="241">
        <f t="shared" si="0"/>
        <v>396272</v>
      </c>
      <c r="J14" s="522">
        <f t="shared" si="1"/>
        <v>25.181064931737492</v>
      </c>
      <c r="K14" s="437"/>
      <c r="L14" s="541"/>
      <c r="M14" s="437"/>
      <c r="N14" s="437"/>
    </row>
    <row r="15" spans="1:18" s="284" customFormat="1" ht="22.5" customHeight="1" x14ac:dyDescent="0.2">
      <c r="A15" s="239" t="s">
        <v>82</v>
      </c>
      <c r="B15" s="241">
        <v>114</v>
      </c>
      <c r="C15" s="542">
        <f t="shared" si="2"/>
        <v>3.166666666666667</v>
      </c>
      <c r="D15" s="328">
        <v>551550</v>
      </c>
      <c r="E15" s="328">
        <v>430160</v>
      </c>
      <c r="F15" s="328">
        <v>550500</v>
      </c>
      <c r="G15" s="241">
        <v>606705</v>
      </c>
      <c r="H15" s="241">
        <v>0</v>
      </c>
      <c r="I15" s="241">
        <f t="shared" si="0"/>
        <v>606705</v>
      </c>
      <c r="J15" s="522">
        <f t="shared" si="1"/>
        <v>99.809627413652436</v>
      </c>
      <c r="K15" s="437"/>
      <c r="L15" s="541"/>
      <c r="M15" s="437"/>
      <c r="N15" s="437"/>
    </row>
    <row r="16" spans="1:18" s="284" customFormat="1" ht="22.5" customHeight="1" x14ac:dyDescent="0.2">
      <c r="A16" s="239" t="s">
        <v>83</v>
      </c>
      <c r="B16" s="241">
        <v>310</v>
      </c>
      <c r="C16" s="542">
        <f t="shared" si="2"/>
        <v>8.6111111111111107</v>
      </c>
      <c r="D16" s="328">
        <v>175000</v>
      </c>
      <c r="E16" s="328">
        <v>140000</v>
      </c>
      <c r="F16" s="328">
        <v>130500</v>
      </c>
      <c r="G16" s="241">
        <v>210500</v>
      </c>
      <c r="H16" s="241">
        <v>0</v>
      </c>
      <c r="I16" s="241">
        <f t="shared" si="0"/>
        <v>210500</v>
      </c>
      <c r="J16" s="522">
        <f t="shared" ref="J16:J21" si="3">F16/D16*100</f>
        <v>74.571428571428569</v>
      </c>
      <c r="K16" s="437"/>
      <c r="L16" s="541"/>
      <c r="M16" s="437"/>
      <c r="N16" s="437"/>
    </row>
    <row r="17" spans="1:14" s="284" customFormat="1" ht="22.5" customHeight="1" x14ac:dyDescent="0.2">
      <c r="A17" s="239" t="s">
        <v>84</v>
      </c>
      <c r="B17" s="241">
        <v>107</v>
      </c>
      <c r="C17" s="542">
        <f t="shared" si="2"/>
        <v>2.9722222222222223</v>
      </c>
      <c r="D17" s="328">
        <v>201038</v>
      </c>
      <c r="E17" s="328">
        <v>179034</v>
      </c>
      <c r="F17" s="328">
        <v>164887</v>
      </c>
      <c r="G17" s="241">
        <v>197865</v>
      </c>
      <c r="H17" s="241">
        <v>408</v>
      </c>
      <c r="I17" s="241">
        <f t="shared" si="0"/>
        <v>198273</v>
      </c>
      <c r="J17" s="522">
        <f t="shared" si="3"/>
        <v>82.017827475402655</v>
      </c>
      <c r="K17" s="437"/>
      <c r="L17" s="541"/>
      <c r="M17" s="437"/>
      <c r="N17" s="437"/>
    </row>
    <row r="18" spans="1:14" s="284" customFormat="1" ht="22.5" customHeight="1" x14ac:dyDescent="0.2">
      <c r="A18" s="239" t="s">
        <v>85</v>
      </c>
      <c r="B18" s="241">
        <v>229</v>
      </c>
      <c r="C18" s="542">
        <f t="shared" si="2"/>
        <v>6.3611111111111107</v>
      </c>
      <c r="D18" s="328">
        <v>647816</v>
      </c>
      <c r="E18" s="328">
        <v>441920</v>
      </c>
      <c r="F18" s="328">
        <v>329596</v>
      </c>
      <c r="G18" s="241">
        <v>428474</v>
      </c>
      <c r="H18" s="241">
        <v>0</v>
      </c>
      <c r="I18" s="394">
        <f t="shared" si="0"/>
        <v>428474</v>
      </c>
      <c r="J18" s="522">
        <f t="shared" si="3"/>
        <v>50.878027094113143</v>
      </c>
      <c r="K18" s="437"/>
      <c r="L18" s="541"/>
      <c r="M18" s="437"/>
      <c r="N18" s="437"/>
    </row>
    <row r="19" spans="1:14" s="284" customFormat="1" ht="22.5" customHeight="1" x14ac:dyDescent="0.2">
      <c r="A19" s="239" t="s">
        <v>86</v>
      </c>
      <c r="B19" s="241">
        <v>259</v>
      </c>
      <c r="C19" s="542">
        <f t="shared" si="2"/>
        <v>7.1944444444444446</v>
      </c>
      <c r="D19" s="328">
        <v>828112</v>
      </c>
      <c r="E19" s="328">
        <v>656828</v>
      </c>
      <c r="F19" s="328">
        <v>703895</v>
      </c>
      <c r="G19" s="241">
        <v>900000</v>
      </c>
      <c r="H19" s="241">
        <v>0</v>
      </c>
      <c r="I19" s="241">
        <f t="shared" si="0"/>
        <v>900000</v>
      </c>
      <c r="J19" s="522">
        <f t="shared" si="3"/>
        <v>84.999975848677479</v>
      </c>
      <c r="K19" s="437"/>
      <c r="L19" s="541"/>
      <c r="M19" s="437"/>
      <c r="N19" s="437"/>
    </row>
    <row r="20" spans="1:14" s="284" customFormat="1" ht="22.5" customHeight="1" thickBot="1" x14ac:dyDescent="0.25">
      <c r="A20" s="242" t="s">
        <v>87</v>
      </c>
      <c r="B20" s="237">
        <v>337</v>
      </c>
      <c r="C20" s="542">
        <f t="shared" si="2"/>
        <v>9.3611111111111125</v>
      </c>
      <c r="D20" s="526">
        <v>1954800</v>
      </c>
      <c r="E20" s="526">
        <v>1791965</v>
      </c>
      <c r="F20" s="526">
        <v>1258945</v>
      </c>
      <c r="G20" s="237">
        <v>1636640</v>
      </c>
      <c r="H20" s="237">
        <v>0</v>
      </c>
      <c r="I20" s="237">
        <f t="shared" si="0"/>
        <v>1636640</v>
      </c>
      <c r="J20" s="522">
        <f t="shared" si="3"/>
        <v>64.402752199713532</v>
      </c>
      <c r="K20" s="248"/>
      <c r="L20" s="541"/>
      <c r="M20" s="437"/>
      <c r="N20" s="437"/>
    </row>
    <row r="21" spans="1:14" s="232" customFormat="1" ht="22.5" customHeight="1" thickTop="1" thickBot="1" x14ac:dyDescent="0.25">
      <c r="A21" s="251" t="s">
        <v>309</v>
      </c>
      <c r="B21" s="254">
        <f>SUM(B5:B20)</f>
        <v>3600</v>
      </c>
      <c r="C21" s="363">
        <f t="shared" si="2"/>
        <v>100</v>
      </c>
      <c r="D21" s="254">
        <f>SUM(D5:D20)</f>
        <v>8708220</v>
      </c>
      <c r="E21" s="254">
        <f>SUM(E5:E20)</f>
        <v>6857686</v>
      </c>
      <c r="F21" s="254">
        <f>SUM(F5:F20)</f>
        <v>5324717</v>
      </c>
      <c r="G21" s="254">
        <f>SUM(G5:G20)</f>
        <v>6796023</v>
      </c>
      <c r="H21" s="254">
        <f>SUM(H5:H20)</f>
        <v>9383</v>
      </c>
      <c r="I21" s="254">
        <f t="shared" si="0"/>
        <v>6805406</v>
      </c>
      <c r="J21" s="363">
        <f t="shared" si="3"/>
        <v>61.145871372105901</v>
      </c>
      <c r="K21" s="243"/>
      <c r="L21" s="235"/>
      <c r="M21" s="234"/>
      <c r="N21" s="234"/>
    </row>
    <row r="22" spans="1:14" s="232" customFormat="1" ht="18" customHeight="1" thickTop="1" x14ac:dyDescent="0.2">
      <c r="A22" s="829" t="s">
        <v>322</v>
      </c>
      <c r="B22" s="829"/>
      <c r="C22" s="829"/>
      <c r="D22" s="829"/>
      <c r="E22" s="829"/>
      <c r="F22" s="829"/>
      <c r="G22" s="829"/>
      <c r="H22" s="829"/>
      <c r="I22" s="444"/>
      <c r="J22" s="444"/>
      <c r="K22" s="243"/>
      <c r="L22" s="235"/>
      <c r="M22" s="234"/>
      <c r="N22" s="234"/>
    </row>
    <row r="23" spans="1:14" s="232" customFormat="1" ht="18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827"/>
      <c r="I23" s="827"/>
      <c r="J23" s="827"/>
      <c r="K23" s="243"/>
      <c r="L23" s="235"/>
      <c r="M23" s="234"/>
      <c r="N23" s="234"/>
    </row>
    <row r="24" spans="1:14" s="232" customFormat="1" ht="18" customHeight="1" x14ac:dyDescent="0.2">
      <c r="A24" s="644"/>
      <c r="B24" s="644"/>
      <c r="C24" s="644"/>
      <c r="D24" s="644"/>
      <c r="E24" s="644"/>
      <c r="F24" s="644"/>
      <c r="G24" s="644"/>
      <c r="H24" s="644"/>
      <c r="I24" s="644"/>
      <c r="J24" s="644"/>
      <c r="K24" s="243"/>
      <c r="L24" s="235"/>
      <c r="M24" s="234"/>
      <c r="N24" s="234"/>
    </row>
    <row r="25" spans="1:14" s="232" customFormat="1" ht="11.25" customHeight="1" thickBot="1" x14ac:dyDescent="0.25">
      <c r="A25" s="828"/>
      <c r="B25" s="828"/>
      <c r="C25" s="828"/>
      <c r="D25" s="828"/>
      <c r="E25" s="828"/>
      <c r="F25" s="828"/>
      <c r="G25" s="828"/>
      <c r="H25" s="246"/>
      <c r="I25" s="248"/>
      <c r="J25" s="243"/>
      <c r="K25" s="243"/>
      <c r="L25" s="235"/>
      <c r="M25" s="234"/>
      <c r="N25" s="234"/>
    </row>
    <row r="26" spans="1:14" ht="18" customHeight="1" x14ac:dyDescent="0.25">
      <c r="A26" s="823" t="s">
        <v>253</v>
      </c>
      <c r="B26" s="823"/>
      <c r="C26" s="823"/>
      <c r="D26" s="823"/>
      <c r="E26" s="823"/>
      <c r="F26" s="823"/>
      <c r="G26" s="823"/>
      <c r="H26" s="823"/>
      <c r="I26" s="249"/>
      <c r="J26" s="306">
        <v>24</v>
      </c>
      <c r="K26" s="14"/>
      <c r="L26" s="14"/>
      <c r="M26" s="14"/>
      <c r="N26" s="14"/>
    </row>
  </sheetData>
  <mergeCells count="10">
    <mergeCell ref="A26:H26"/>
    <mergeCell ref="A1:J1"/>
    <mergeCell ref="A2:J2"/>
    <mergeCell ref="A3:A4"/>
    <mergeCell ref="B3:C3"/>
    <mergeCell ref="G3:I3"/>
    <mergeCell ref="J3:J4"/>
    <mergeCell ref="A25:G25"/>
    <mergeCell ref="A23:J23"/>
    <mergeCell ref="A22:H22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0"/>
  <sheetViews>
    <sheetView rightToLeft="1" view="pageBreakPreview" zoomScale="90" zoomScaleSheetLayoutView="90" workbookViewId="0">
      <selection sqref="A1:K1"/>
    </sheetView>
  </sheetViews>
  <sheetFormatPr defaultColWidth="10.42578125" defaultRowHeight="15" x14ac:dyDescent="0.25"/>
  <cols>
    <col min="1" max="1" width="11.140625" customWidth="1"/>
    <col min="2" max="3" width="9.5703125" customWidth="1"/>
    <col min="4" max="4" width="14.5703125" customWidth="1"/>
    <col min="5" max="5" width="14.85546875" customWidth="1"/>
    <col min="6" max="6" width="14.5703125" customWidth="1"/>
    <col min="7" max="10" width="13.28515625" customWidth="1"/>
    <col min="11" max="11" width="14.5703125" customWidth="1"/>
  </cols>
  <sheetData>
    <row r="1" spans="1:21" ht="23.25" customHeight="1" x14ac:dyDescent="0.25">
      <c r="A1" s="831" t="s">
        <v>446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</row>
    <row r="2" spans="1:21" ht="23.25" customHeight="1" thickBot="1" x14ac:dyDescent="0.3">
      <c r="A2" s="832" t="s">
        <v>385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</row>
    <row r="3" spans="1:21" ht="28.5" customHeight="1" thickTop="1" x14ac:dyDescent="0.25">
      <c r="A3" s="792" t="s">
        <v>74</v>
      </c>
      <c r="B3" s="761" t="s">
        <v>259</v>
      </c>
      <c r="C3" s="761"/>
      <c r="D3" s="407" t="s">
        <v>279</v>
      </c>
      <c r="E3" s="407" t="s">
        <v>340</v>
      </c>
      <c r="F3" s="407" t="s">
        <v>341</v>
      </c>
      <c r="G3" s="761" t="s">
        <v>342</v>
      </c>
      <c r="H3" s="761"/>
      <c r="I3" s="761"/>
      <c r="J3" s="761"/>
      <c r="K3" s="833" t="s">
        <v>260</v>
      </c>
    </row>
    <row r="4" spans="1:21" ht="25.5" customHeight="1" x14ac:dyDescent="0.25">
      <c r="A4" s="806"/>
      <c r="B4" s="257" t="s">
        <v>278</v>
      </c>
      <c r="C4" s="257" t="s">
        <v>252</v>
      </c>
      <c r="D4" s="300" t="s">
        <v>280</v>
      </c>
      <c r="E4" s="300" t="s">
        <v>280</v>
      </c>
      <c r="F4" s="300" t="s">
        <v>280</v>
      </c>
      <c r="G4" s="250" t="s">
        <v>284</v>
      </c>
      <c r="H4" s="250" t="s">
        <v>281</v>
      </c>
      <c r="I4" s="250" t="s">
        <v>282</v>
      </c>
      <c r="J4" s="250" t="s">
        <v>25</v>
      </c>
      <c r="K4" s="834"/>
    </row>
    <row r="5" spans="1:21" s="19" customFormat="1" ht="23.25" customHeight="1" x14ac:dyDescent="0.25">
      <c r="A5" s="571" t="s">
        <v>75</v>
      </c>
      <c r="B5" s="575">
        <v>0</v>
      </c>
      <c r="C5" s="542">
        <f>B5/309*100</f>
        <v>0</v>
      </c>
      <c r="D5" s="574">
        <v>0</v>
      </c>
      <c r="E5" s="574">
        <v>0</v>
      </c>
      <c r="F5" s="574">
        <v>0</v>
      </c>
      <c r="G5" s="574">
        <v>0</v>
      </c>
      <c r="H5" s="435">
        <v>0</v>
      </c>
      <c r="I5" s="435">
        <v>0</v>
      </c>
      <c r="J5" s="435">
        <f t="shared" ref="J5:J20" si="0">SUM(G5:I5)</f>
        <v>0</v>
      </c>
      <c r="K5" s="542">
        <v>0</v>
      </c>
    </row>
    <row r="6" spans="1:21" s="285" customFormat="1" ht="23.25" customHeight="1" x14ac:dyDescent="0.2">
      <c r="A6" s="571" t="s">
        <v>76</v>
      </c>
      <c r="B6" s="575">
        <v>8</v>
      </c>
      <c r="C6" s="542">
        <f t="shared" ref="C6:C21" si="1">B6/309*100</f>
        <v>2.5889967637540456</v>
      </c>
      <c r="D6" s="574">
        <v>2520</v>
      </c>
      <c r="E6" s="574">
        <v>1080</v>
      </c>
      <c r="F6" s="574">
        <v>991</v>
      </c>
      <c r="G6" s="574">
        <v>0</v>
      </c>
      <c r="H6" s="435">
        <v>0</v>
      </c>
      <c r="I6" s="435">
        <v>1090</v>
      </c>
      <c r="J6" s="435">
        <f t="shared" si="0"/>
        <v>1090</v>
      </c>
      <c r="K6" s="542">
        <f>F6/D6*100</f>
        <v>39.325396825396822</v>
      </c>
      <c r="L6" s="540"/>
      <c r="M6" s="540"/>
      <c r="O6" s="576"/>
    </row>
    <row r="7" spans="1:21" s="285" customFormat="1" ht="23.25" customHeight="1" x14ac:dyDescent="0.6">
      <c r="A7" s="239" t="s">
        <v>77</v>
      </c>
      <c r="B7" s="240">
        <v>36</v>
      </c>
      <c r="C7" s="542">
        <f t="shared" si="1"/>
        <v>11.650485436893204</v>
      </c>
      <c r="D7" s="328">
        <v>82</v>
      </c>
      <c r="E7" s="328">
        <v>25</v>
      </c>
      <c r="F7" s="328">
        <v>25</v>
      </c>
      <c r="G7" s="328">
        <v>0</v>
      </c>
      <c r="H7" s="241">
        <v>0</v>
      </c>
      <c r="I7" s="241">
        <v>50</v>
      </c>
      <c r="J7" s="435">
        <f t="shared" si="0"/>
        <v>50</v>
      </c>
      <c r="K7" s="542">
        <f>F7/D7*100</f>
        <v>30.487804878048781</v>
      </c>
      <c r="L7" s="540"/>
      <c r="M7" s="540"/>
      <c r="N7" s="830"/>
      <c r="O7" s="830"/>
      <c r="P7" s="830"/>
      <c r="Q7" s="830"/>
      <c r="R7" s="830"/>
      <c r="S7" s="830"/>
      <c r="T7" s="830"/>
      <c r="U7" s="564"/>
    </row>
    <row r="8" spans="1:21" s="285" customFormat="1" ht="23.25" customHeight="1" x14ac:dyDescent="0.6">
      <c r="A8" s="239" t="s">
        <v>330</v>
      </c>
      <c r="B8" s="240">
        <v>5</v>
      </c>
      <c r="C8" s="542">
        <f t="shared" si="1"/>
        <v>1.6181229773462782</v>
      </c>
      <c r="D8" s="328">
        <v>375</v>
      </c>
      <c r="E8" s="328">
        <v>225</v>
      </c>
      <c r="F8" s="328">
        <v>150</v>
      </c>
      <c r="G8" s="328">
        <v>0</v>
      </c>
      <c r="H8" s="241">
        <v>0</v>
      </c>
      <c r="I8" s="241">
        <v>160</v>
      </c>
      <c r="J8" s="435">
        <f t="shared" si="0"/>
        <v>160</v>
      </c>
      <c r="K8" s="542">
        <f>F8/D8*100</f>
        <v>40</v>
      </c>
      <c r="L8" s="540"/>
      <c r="M8" s="540"/>
      <c r="N8" s="563"/>
      <c r="O8" s="563"/>
      <c r="P8" s="563"/>
      <c r="Q8" s="563"/>
      <c r="R8" s="563"/>
      <c r="S8" s="563"/>
      <c r="T8" s="563"/>
      <c r="U8" s="564"/>
    </row>
    <row r="9" spans="1:21" s="285" customFormat="1" ht="23.25" customHeight="1" x14ac:dyDescent="0.2">
      <c r="A9" s="239" t="s">
        <v>88</v>
      </c>
      <c r="B9" s="240">
        <v>0</v>
      </c>
      <c r="C9" s="542">
        <f t="shared" si="1"/>
        <v>0</v>
      </c>
      <c r="D9" s="328">
        <v>0</v>
      </c>
      <c r="E9" s="328">
        <v>0</v>
      </c>
      <c r="F9" s="328">
        <v>0</v>
      </c>
      <c r="G9" s="328">
        <v>0</v>
      </c>
      <c r="H9" s="241">
        <v>0</v>
      </c>
      <c r="I9" s="241">
        <v>0</v>
      </c>
      <c r="J9" s="435">
        <f t="shared" si="0"/>
        <v>0</v>
      </c>
      <c r="K9" s="542">
        <v>0</v>
      </c>
      <c r="L9" s="540"/>
      <c r="M9" s="540"/>
      <c r="N9" s="437"/>
      <c r="O9" s="541"/>
      <c r="P9" s="438"/>
      <c r="Q9" s="438"/>
      <c r="R9" s="543"/>
      <c r="S9" s="543"/>
      <c r="T9" s="543"/>
    </row>
    <row r="10" spans="1:21" s="285" customFormat="1" ht="23.25" customHeight="1" x14ac:dyDescent="0.2">
      <c r="A10" s="239" t="s">
        <v>79</v>
      </c>
      <c r="B10" s="240">
        <v>5</v>
      </c>
      <c r="C10" s="542">
        <f t="shared" si="1"/>
        <v>1.6181229773462782</v>
      </c>
      <c r="D10" s="328">
        <v>100</v>
      </c>
      <c r="E10" s="328">
        <v>0</v>
      </c>
      <c r="F10" s="328">
        <v>0</v>
      </c>
      <c r="G10" s="328">
        <v>0</v>
      </c>
      <c r="H10" s="241">
        <v>0</v>
      </c>
      <c r="I10" s="241">
        <v>0</v>
      </c>
      <c r="J10" s="435">
        <f t="shared" si="0"/>
        <v>0</v>
      </c>
      <c r="K10" s="542">
        <v>0</v>
      </c>
      <c r="L10" s="540"/>
      <c r="M10" s="540"/>
      <c r="N10" s="584"/>
      <c r="O10" s="541"/>
      <c r="P10" s="438"/>
      <c r="Q10" s="438"/>
      <c r="R10" s="543"/>
      <c r="S10" s="543"/>
      <c r="T10" s="543"/>
    </row>
    <row r="11" spans="1:21" s="285" customFormat="1" ht="23.25" customHeight="1" x14ac:dyDescent="0.2">
      <c r="A11" s="239" t="s">
        <v>81</v>
      </c>
      <c r="B11" s="240">
        <v>5</v>
      </c>
      <c r="C11" s="542">
        <f t="shared" si="1"/>
        <v>1.6181229773462782</v>
      </c>
      <c r="D11" s="328">
        <v>420</v>
      </c>
      <c r="E11" s="328">
        <v>399</v>
      </c>
      <c r="F11" s="328">
        <v>214</v>
      </c>
      <c r="G11" s="328">
        <v>0</v>
      </c>
      <c r="H11" s="241">
        <v>13</v>
      </c>
      <c r="I11" s="241">
        <v>264</v>
      </c>
      <c r="J11" s="435">
        <f t="shared" si="0"/>
        <v>277</v>
      </c>
      <c r="K11" s="542">
        <f t="shared" ref="K11:K21" si="2">F11/D11*100</f>
        <v>50.952380952380949</v>
      </c>
      <c r="L11" s="540"/>
      <c r="M11" s="540"/>
      <c r="N11" s="584"/>
      <c r="O11" s="541"/>
      <c r="P11" s="437"/>
      <c r="Q11" s="437"/>
    </row>
    <row r="12" spans="1:21" s="285" customFormat="1" ht="23.25" customHeight="1" x14ac:dyDescent="0.2">
      <c r="A12" s="239" t="s">
        <v>73</v>
      </c>
      <c r="B12" s="240">
        <v>5</v>
      </c>
      <c r="C12" s="542">
        <f t="shared" si="1"/>
        <v>1.6181229773462782</v>
      </c>
      <c r="D12" s="328">
        <v>744</v>
      </c>
      <c r="E12" s="328">
        <v>636</v>
      </c>
      <c r="F12" s="328">
        <v>316</v>
      </c>
      <c r="G12" s="526">
        <v>0</v>
      </c>
      <c r="H12" s="237">
        <v>0</v>
      </c>
      <c r="I12" s="237">
        <v>563</v>
      </c>
      <c r="J12" s="435">
        <f t="shared" si="0"/>
        <v>563</v>
      </c>
      <c r="K12" s="542">
        <f t="shared" si="2"/>
        <v>42.473118279569896</v>
      </c>
      <c r="L12" s="540"/>
      <c r="M12" s="540"/>
      <c r="N12" s="617"/>
      <c r="O12" s="541"/>
      <c r="P12" s="437"/>
      <c r="Q12" s="437"/>
    </row>
    <row r="13" spans="1:21" s="285" customFormat="1" ht="23.25" customHeight="1" x14ac:dyDescent="0.2">
      <c r="A13" s="239" t="s">
        <v>80</v>
      </c>
      <c r="B13" s="240">
        <v>24</v>
      </c>
      <c r="C13" s="542">
        <f t="shared" si="1"/>
        <v>7.7669902912621351</v>
      </c>
      <c r="D13" s="328">
        <v>1400</v>
      </c>
      <c r="E13" s="328">
        <v>1000</v>
      </c>
      <c r="F13" s="328">
        <v>700</v>
      </c>
      <c r="G13" s="328">
        <v>120</v>
      </c>
      <c r="H13" s="241">
        <v>465</v>
      </c>
      <c r="I13" s="241">
        <v>150</v>
      </c>
      <c r="J13" s="435">
        <f t="shared" si="0"/>
        <v>735</v>
      </c>
      <c r="K13" s="542">
        <f t="shared" si="2"/>
        <v>50</v>
      </c>
      <c r="L13" s="540"/>
      <c r="M13" s="540"/>
      <c r="N13" s="617"/>
      <c r="O13" s="541"/>
      <c r="P13" s="437"/>
      <c r="Q13" s="437"/>
    </row>
    <row r="14" spans="1:21" s="285" customFormat="1" ht="23.25" customHeight="1" x14ac:dyDescent="0.2">
      <c r="A14" s="239" t="s">
        <v>283</v>
      </c>
      <c r="B14" s="585">
        <v>10</v>
      </c>
      <c r="C14" s="542">
        <f t="shared" si="1"/>
        <v>3.2362459546925564</v>
      </c>
      <c r="D14" s="328">
        <v>624</v>
      </c>
      <c r="E14" s="328">
        <v>90</v>
      </c>
      <c r="F14" s="328">
        <v>45</v>
      </c>
      <c r="G14" s="328">
        <v>0</v>
      </c>
      <c r="H14" s="241">
        <v>47</v>
      </c>
      <c r="I14" s="241">
        <v>0</v>
      </c>
      <c r="J14" s="435">
        <f t="shared" si="0"/>
        <v>47</v>
      </c>
      <c r="K14" s="542">
        <f t="shared" si="2"/>
        <v>7.2115384615384608</v>
      </c>
      <c r="L14" s="540"/>
      <c r="M14" s="540"/>
      <c r="N14" s="239"/>
      <c r="O14" s="541"/>
      <c r="P14" s="437"/>
      <c r="Q14" s="437"/>
    </row>
    <row r="15" spans="1:21" s="284" customFormat="1" ht="23.25" customHeight="1" x14ac:dyDescent="0.2">
      <c r="A15" s="239" t="s">
        <v>82</v>
      </c>
      <c r="B15" s="240">
        <v>8</v>
      </c>
      <c r="C15" s="542">
        <f t="shared" si="1"/>
        <v>2.5889967637540456</v>
      </c>
      <c r="D15" s="328">
        <v>2000</v>
      </c>
      <c r="E15" s="328">
        <v>500</v>
      </c>
      <c r="F15" s="328">
        <v>500</v>
      </c>
      <c r="G15" s="328">
        <v>0</v>
      </c>
      <c r="H15" s="241">
        <v>0</v>
      </c>
      <c r="I15" s="241">
        <v>500</v>
      </c>
      <c r="J15" s="435">
        <f t="shared" si="0"/>
        <v>500</v>
      </c>
      <c r="K15" s="542">
        <f t="shared" si="2"/>
        <v>25</v>
      </c>
      <c r="L15" s="540"/>
      <c r="M15" s="540"/>
      <c r="N15" s="239"/>
      <c r="O15" s="541"/>
      <c r="P15" s="437"/>
      <c r="Q15" s="437"/>
    </row>
    <row r="16" spans="1:21" s="284" customFormat="1" ht="23.25" customHeight="1" x14ac:dyDescent="0.2">
      <c r="A16" s="239" t="s">
        <v>83</v>
      </c>
      <c r="B16" s="240">
        <v>25</v>
      </c>
      <c r="C16" s="542">
        <f t="shared" si="1"/>
        <v>8.090614886731391</v>
      </c>
      <c r="D16" s="328">
        <v>1180</v>
      </c>
      <c r="E16" s="328">
        <v>1150</v>
      </c>
      <c r="F16" s="328">
        <v>125</v>
      </c>
      <c r="G16" s="328">
        <v>0</v>
      </c>
      <c r="H16" s="241">
        <v>200</v>
      </c>
      <c r="I16" s="241">
        <v>0</v>
      </c>
      <c r="J16" s="435">
        <f t="shared" si="0"/>
        <v>200</v>
      </c>
      <c r="K16" s="542">
        <f t="shared" si="2"/>
        <v>10.59322033898305</v>
      </c>
      <c r="L16" s="540"/>
      <c r="M16" s="540"/>
      <c r="N16" s="437"/>
      <c r="O16" s="541"/>
      <c r="P16" s="437"/>
      <c r="Q16" s="437"/>
    </row>
    <row r="17" spans="1:17" s="284" customFormat="1" ht="23.25" customHeight="1" x14ac:dyDescent="0.2">
      <c r="A17" s="239" t="s">
        <v>84</v>
      </c>
      <c r="B17" s="240">
        <v>45</v>
      </c>
      <c r="C17" s="542">
        <f t="shared" si="1"/>
        <v>14.563106796116504</v>
      </c>
      <c r="D17" s="328">
        <v>8430</v>
      </c>
      <c r="E17" s="328">
        <v>714</v>
      </c>
      <c r="F17" s="328">
        <v>678</v>
      </c>
      <c r="G17" s="328">
        <v>1000</v>
      </c>
      <c r="H17" s="241">
        <v>0</v>
      </c>
      <c r="I17" s="241">
        <v>200</v>
      </c>
      <c r="J17" s="435">
        <f t="shared" si="0"/>
        <v>1200</v>
      </c>
      <c r="K17" s="542">
        <f t="shared" si="2"/>
        <v>8.042704626334519</v>
      </c>
      <c r="L17" s="540"/>
      <c r="M17" s="540"/>
      <c r="N17" s="437"/>
      <c r="O17" s="541"/>
      <c r="P17" s="437"/>
      <c r="Q17" s="437"/>
    </row>
    <row r="18" spans="1:17" s="284" customFormat="1" ht="23.25" customHeight="1" x14ac:dyDescent="0.2">
      <c r="A18" s="239" t="s">
        <v>85</v>
      </c>
      <c r="B18" s="240">
        <v>78</v>
      </c>
      <c r="C18" s="542">
        <f t="shared" si="1"/>
        <v>25.242718446601941</v>
      </c>
      <c r="D18" s="328">
        <v>21400</v>
      </c>
      <c r="E18" s="328">
        <v>3150</v>
      </c>
      <c r="F18" s="328">
        <v>1125</v>
      </c>
      <c r="G18" s="328">
        <v>1500</v>
      </c>
      <c r="H18" s="241">
        <v>750</v>
      </c>
      <c r="I18" s="241">
        <v>0</v>
      </c>
      <c r="J18" s="435">
        <f t="shared" si="0"/>
        <v>2250</v>
      </c>
      <c r="K18" s="542">
        <f t="shared" si="2"/>
        <v>5.2570093457943923</v>
      </c>
      <c r="L18" s="540"/>
      <c r="M18" s="540"/>
      <c r="N18" s="437"/>
      <c r="O18" s="541"/>
      <c r="P18" s="437"/>
      <c r="Q18" s="437"/>
    </row>
    <row r="19" spans="1:17" s="284" customFormat="1" ht="23.25" customHeight="1" x14ac:dyDescent="0.2">
      <c r="A19" s="239" t="s">
        <v>86</v>
      </c>
      <c r="B19" s="240">
        <v>12</v>
      </c>
      <c r="C19" s="542">
        <f t="shared" si="1"/>
        <v>3.8834951456310676</v>
      </c>
      <c r="D19" s="328">
        <v>7200</v>
      </c>
      <c r="E19" s="328">
        <v>6480</v>
      </c>
      <c r="F19" s="328">
        <v>4416</v>
      </c>
      <c r="G19" s="328">
        <v>7950</v>
      </c>
      <c r="H19" s="241">
        <v>0</v>
      </c>
      <c r="I19" s="241">
        <v>0</v>
      </c>
      <c r="J19" s="435">
        <f t="shared" si="0"/>
        <v>7950</v>
      </c>
      <c r="K19" s="542">
        <f t="shared" si="2"/>
        <v>61.333333333333329</v>
      </c>
      <c r="L19" s="540"/>
      <c r="M19" s="540"/>
      <c r="N19" s="437"/>
      <c r="O19" s="541"/>
      <c r="P19" s="437"/>
      <c r="Q19" s="437"/>
    </row>
    <row r="20" spans="1:17" s="284" customFormat="1" ht="23.25" customHeight="1" thickBot="1" x14ac:dyDescent="0.25">
      <c r="A20" s="242" t="s">
        <v>87</v>
      </c>
      <c r="B20" s="240">
        <v>43</v>
      </c>
      <c r="C20" s="542">
        <f t="shared" si="1"/>
        <v>13.915857605177994</v>
      </c>
      <c r="D20" s="526">
        <v>50952</v>
      </c>
      <c r="E20" s="526">
        <v>9029</v>
      </c>
      <c r="F20" s="526">
        <v>5267</v>
      </c>
      <c r="G20" s="526">
        <v>10534</v>
      </c>
      <c r="H20" s="237">
        <v>0</v>
      </c>
      <c r="I20" s="237">
        <v>0</v>
      </c>
      <c r="J20" s="435">
        <f t="shared" si="0"/>
        <v>10534</v>
      </c>
      <c r="K20" s="542">
        <f t="shared" si="2"/>
        <v>10.337180091066102</v>
      </c>
      <c r="L20" s="540"/>
      <c r="M20" s="540"/>
      <c r="N20" s="437"/>
      <c r="O20" s="541"/>
      <c r="P20" s="437"/>
      <c r="Q20" s="437"/>
    </row>
    <row r="21" spans="1:17" s="232" customFormat="1" ht="23.25" customHeight="1" thickTop="1" thickBot="1" x14ac:dyDescent="0.25">
      <c r="A21" s="251" t="s">
        <v>309</v>
      </c>
      <c r="B21" s="253">
        <f>SUM(B5:B20)</f>
        <v>309</v>
      </c>
      <c r="C21" s="259">
        <f t="shared" si="1"/>
        <v>100</v>
      </c>
      <c r="D21" s="253">
        <f t="shared" ref="D21:I21" si="3">SUM(D5:D20)</f>
        <v>97427</v>
      </c>
      <c r="E21" s="253">
        <f t="shared" si="3"/>
        <v>24478</v>
      </c>
      <c r="F21" s="253">
        <f t="shared" si="3"/>
        <v>14552</v>
      </c>
      <c r="G21" s="253">
        <f t="shared" si="3"/>
        <v>21104</v>
      </c>
      <c r="H21" s="253">
        <f t="shared" si="3"/>
        <v>1475</v>
      </c>
      <c r="I21" s="253">
        <f t="shared" si="3"/>
        <v>2977</v>
      </c>
      <c r="J21" s="253">
        <f>SUM(J5:J20)</f>
        <v>25556</v>
      </c>
      <c r="K21" s="259">
        <f t="shared" si="2"/>
        <v>14.936311289478276</v>
      </c>
      <c r="L21" s="243"/>
      <c r="M21" s="243"/>
      <c r="N21" s="243"/>
      <c r="O21" s="235"/>
      <c r="P21" s="234"/>
      <c r="Q21" s="234"/>
    </row>
    <row r="22" spans="1:17" s="232" customFormat="1" ht="17.25" customHeight="1" thickTop="1" x14ac:dyDescent="0.25">
      <c r="A22" s="829" t="s">
        <v>322</v>
      </c>
      <c r="B22" s="829"/>
      <c r="C22" s="829"/>
      <c r="D22" s="829"/>
      <c r="E22" s="829"/>
      <c r="F22" s="829"/>
      <c r="G22" s="829"/>
      <c r="H22"/>
      <c r="I22"/>
      <c r="J22"/>
      <c r="K22" s="243"/>
      <c r="L22" s="235"/>
      <c r="M22" s="234"/>
      <c r="N22" s="234"/>
    </row>
    <row r="23" spans="1:17" s="232" customFormat="1" ht="17.2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246"/>
      <c r="I23" s="246"/>
      <c r="J23" s="248"/>
      <c r="K23" s="243"/>
      <c r="L23" s="243"/>
      <c r="M23" s="235"/>
      <c r="N23" s="234"/>
      <c r="O23" s="234"/>
    </row>
    <row r="24" spans="1:17" s="232" customFormat="1" ht="17.25" customHeight="1" thickBot="1" x14ac:dyDescent="0.25">
      <c r="A24" s="828"/>
      <c r="B24" s="828"/>
      <c r="C24" s="828"/>
      <c r="D24" s="828"/>
      <c r="E24" s="828"/>
      <c r="F24" s="828"/>
      <c r="G24" s="828"/>
      <c r="H24" s="246"/>
      <c r="I24" s="246"/>
      <c r="J24" s="248"/>
      <c r="K24" s="243"/>
      <c r="L24" s="243"/>
      <c r="M24" s="235"/>
      <c r="N24" s="234"/>
      <c r="O24" s="234"/>
    </row>
    <row r="25" spans="1:17" ht="17.25" customHeight="1" x14ac:dyDescent="0.25">
      <c r="A25" s="823" t="s">
        <v>253</v>
      </c>
      <c r="B25" s="823"/>
      <c r="C25" s="823"/>
      <c r="D25" s="823"/>
      <c r="E25" s="823"/>
      <c r="F25" s="823"/>
      <c r="G25" s="823"/>
      <c r="H25" s="823"/>
      <c r="I25" s="823"/>
      <c r="J25" s="823"/>
      <c r="K25" s="306">
        <v>25</v>
      </c>
      <c r="L25" s="14"/>
      <c r="M25" s="14"/>
      <c r="N25" s="14"/>
      <c r="O25" s="14"/>
      <c r="P25" s="14"/>
      <c r="Q25" s="14"/>
    </row>
    <row r="26" spans="1:17" x14ac:dyDescent="0.25">
      <c r="L26" s="14"/>
      <c r="M26" s="14"/>
      <c r="N26" s="14"/>
      <c r="O26" s="14"/>
      <c r="P26" s="14"/>
      <c r="Q26" s="14"/>
    </row>
    <row r="27" spans="1:17" x14ac:dyDescent="0.25">
      <c r="L27" s="14"/>
      <c r="M27" s="14"/>
      <c r="N27" s="14"/>
      <c r="O27" s="14"/>
      <c r="P27" s="14"/>
      <c r="Q27" s="14"/>
    </row>
    <row r="28" spans="1:17" x14ac:dyDescent="0.25">
      <c r="G28" s="434">
        <f>J21-G21</f>
        <v>4452</v>
      </c>
      <c r="L28" s="14"/>
      <c r="M28" s="14"/>
      <c r="N28" s="14"/>
      <c r="O28" s="14"/>
      <c r="P28" s="14"/>
      <c r="Q28" s="14"/>
    </row>
    <row r="29" spans="1:17" x14ac:dyDescent="0.25">
      <c r="L29" s="14"/>
      <c r="M29" s="14"/>
      <c r="N29" s="14"/>
      <c r="O29" s="14"/>
      <c r="P29" s="14"/>
      <c r="Q29" s="14"/>
    </row>
    <row r="30" spans="1:17" x14ac:dyDescent="0.25">
      <c r="L30" s="14"/>
      <c r="M30" s="14"/>
      <c r="N30" s="14"/>
      <c r="O30" s="14"/>
      <c r="P30" s="14"/>
      <c r="Q30" s="14"/>
    </row>
  </sheetData>
  <mergeCells count="11">
    <mergeCell ref="N7:T7"/>
    <mergeCell ref="A25:J25"/>
    <mergeCell ref="A1:K1"/>
    <mergeCell ref="A2:K2"/>
    <mergeCell ref="A3:A4"/>
    <mergeCell ref="B3:C3"/>
    <mergeCell ref="K3:K4"/>
    <mergeCell ref="G3:J3"/>
    <mergeCell ref="A23:G23"/>
    <mergeCell ref="A24:G24"/>
    <mergeCell ref="A22:G22"/>
  </mergeCells>
  <printOptions horizontalCentered="1"/>
  <pageMargins left="0.55118110236220474" right="0.55118110236220474" top="0.51181102362204722" bottom="0.51181102362204722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0"/>
  <sheetViews>
    <sheetView rightToLeft="1" view="pageBreakPreview" zoomScale="90" zoomScaleSheetLayoutView="90" workbookViewId="0">
      <selection sqref="A1:K1"/>
    </sheetView>
  </sheetViews>
  <sheetFormatPr defaultColWidth="10.42578125" defaultRowHeight="15" x14ac:dyDescent="0.25"/>
  <cols>
    <col min="1" max="1" width="11.85546875" customWidth="1"/>
    <col min="2" max="3" width="9.5703125" customWidth="1"/>
    <col min="4" max="4" width="0.85546875" customWidth="1"/>
    <col min="5" max="6" width="9.5703125" customWidth="1"/>
    <col min="7" max="7" width="14.5703125" customWidth="1"/>
    <col min="8" max="8" width="14.85546875" customWidth="1"/>
    <col min="9" max="9" width="14.5703125" customWidth="1"/>
    <col min="10" max="10" width="19" customWidth="1"/>
    <col min="11" max="11" width="14.5703125" customWidth="1"/>
  </cols>
  <sheetData>
    <row r="1" spans="1:21" ht="23.25" customHeight="1" x14ac:dyDescent="0.25">
      <c r="A1" s="831" t="s">
        <v>447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</row>
    <row r="2" spans="1:21" ht="23.25" customHeight="1" thickBot="1" x14ac:dyDescent="0.3">
      <c r="A2" s="832" t="s">
        <v>386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</row>
    <row r="3" spans="1:21" ht="30" customHeight="1" thickTop="1" x14ac:dyDescent="0.25">
      <c r="A3" s="792" t="s">
        <v>74</v>
      </c>
      <c r="B3" s="761" t="s">
        <v>338</v>
      </c>
      <c r="C3" s="761"/>
      <c r="D3" s="445"/>
      <c r="E3" s="761" t="s">
        <v>339</v>
      </c>
      <c r="F3" s="761"/>
      <c r="G3" s="407" t="s">
        <v>279</v>
      </c>
      <c r="H3" s="407" t="s">
        <v>340</v>
      </c>
      <c r="I3" s="407" t="s">
        <v>341</v>
      </c>
      <c r="J3" s="792" t="s">
        <v>343</v>
      </c>
      <c r="K3" s="792" t="s">
        <v>257</v>
      </c>
    </row>
    <row r="4" spans="1:21" ht="25.5" customHeight="1" x14ac:dyDescent="0.25">
      <c r="A4" s="806"/>
      <c r="B4" s="257" t="s">
        <v>278</v>
      </c>
      <c r="C4" s="257" t="s">
        <v>252</v>
      </c>
      <c r="D4" s="446"/>
      <c r="E4" s="257" t="s">
        <v>251</v>
      </c>
      <c r="F4" s="257" t="s">
        <v>252</v>
      </c>
      <c r="G4" s="408" t="s">
        <v>280</v>
      </c>
      <c r="H4" s="408" t="s">
        <v>280</v>
      </c>
      <c r="I4" s="408" t="s">
        <v>280</v>
      </c>
      <c r="J4" s="806"/>
      <c r="K4" s="806"/>
    </row>
    <row r="5" spans="1:21" s="19" customFormat="1" ht="21.75" customHeight="1" x14ac:dyDescent="0.25">
      <c r="A5" s="571" t="s">
        <v>75</v>
      </c>
      <c r="B5" s="575">
        <v>481</v>
      </c>
      <c r="C5" s="542">
        <f>B5/951*100</f>
        <v>50.578338590956882</v>
      </c>
      <c r="D5" s="542"/>
      <c r="E5" s="544">
        <v>481</v>
      </c>
      <c r="F5" s="542">
        <f>E5/733*100</f>
        <v>65.620736698499314</v>
      </c>
      <c r="G5" s="574">
        <v>8975</v>
      </c>
      <c r="H5" s="574">
        <v>8078</v>
      </c>
      <c r="I5" s="574">
        <v>8975</v>
      </c>
      <c r="J5" s="574">
        <v>8975</v>
      </c>
      <c r="K5" s="545">
        <f>I5/G5*100</f>
        <v>100</v>
      </c>
    </row>
    <row r="6" spans="1:21" s="285" customFormat="1" ht="21.75" customHeight="1" x14ac:dyDescent="0.2">
      <c r="A6" s="571" t="s">
        <v>76</v>
      </c>
      <c r="B6" s="575">
        <v>376</v>
      </c>
      <c r="C6" s="542">
        <f t="shared" ref="C6:C21" si="0">B6/951*100</f>
        <v>39.537329127234486</v>
      </c>
      <c r="D6" s="542"/>
      <c r="E6" s="544">
        <v>178</v>
      </c>
      <c r="F6" s="542">
        <f t="shared" ref="F6:F21" si="1">E6/733*100</f>
        <v>24.283765347885403</v>
      </c>
      <c r="G6" s="574">
        <v>260238</v>
      </c>
      <c r="H6" s="574">
        <v>223570</v>
      </c>
      <c r="I6" s="574">
        <v>64930</v>
      </c>
      <c r="J6" s="574">
        <v>64930</v>
      </c>
      <c r="K6" s="545">
        <f>I6/G6*100</f>
        <v>24.950237859190434</v>
      </c>
      <c r="L6" s="540"/>
      <c r="M6" s="540"/>
      <c r="O6" s="576"/>
    </row>
    <row r="7" spans="1:21" s="285" customFormat="1" ht="21.75" customHeight="1" x14ac:dyDescent="0.6">
      <c r="A7" s="239" t="s">
        <v>77</v>
      </c>
      <c r="B7" s="240">
        <v>14</v>
      </c>
      <c r="C7" s="542">
        <f t="shared" si="0"/>
        <v>1.4721345951629863</v>
      </c>
      <c r="D7" s="542"/>
      <c r="E7" s="544">
        <v>12</v>
      </c>
      <c r="F7" s="542">
        <f t="shared" si="1"/>
        <v>1.6371077762619373</v>
      </c>
      <c r="G7" s="328">
        <v>245</v>
      </c>
      <c r="H7" s="328">
        <v>235</v>
      </c>
      <c r="I7" s="328">
        <v>235</v>
      </c>
      <c r="J7" s="526">
        <v>245</v>
      </c>
      <c r="K7" s="545">
        <f>I7/G7*100</f>
        <v>95.918367346938766</v>
      </c>
      <c r="L7" s="540"/>
      <c r="M7" s="540"/>
      <c r="N7" s="830"/>
      <c r="O7" s="830"/>
      <c r="P7" s="830"/>
      <c r="Q7" s="830"/>
      <c r="R7" s="830"/>
      <c r="S7" s="830"/>
      <c r="T7" s="830"/>
      <c r="U7" s="564"/>
    </row>
    <row r="8" spans="1:21" s="285" customFormat="1" ht="21.75" customHeight="1" x14ac:dyDescent="0.6">
      <c r="A8" s="239" t="s">
        <v>330</v>
      </c>
      <c r="B8" s="240">
        <v>0</v>
      </c>
      <c r="C8" s="542">
        <f t="shared" si="0"/>
        <v>0</v>
      </c>
      <c r="D8" s="542"/>
      <c r="E8" s="544">
        <v>0</v>
      </c>
      <c r="F8" s="542">
        <f t="shared" si="1"/>
        <v>0</v>
      </c>
      <c r="G8" s="328">
        <v>0</v>
      </c>
      <c r="H8" s="328">
        <v>0</v>
      </c>
      <c r="I8" s="328">
        <v>0</v>
      </c>
      <c r="J8" s="526">
        <v>0</v>
      </c>
      <c r="K8" s="542">
        <v>0</v>
      </c>
      <c r="L8" s="540"/>
      <c r="M8" s="540"/>
      <c r="N8" s="563"/>
      <c r="O8" s="563"/>
      <c r="P8" s="563"/>
      <c r="Q8" s="563"/>
      <c r="R8" s="563"/>
      <c r="S8" s="563"/>
      <c r="T8" s="563"/>
      <c r="U8" s="564"/>
    </row>
    <row r="9" spans="1:21" s="285" customFormat="1" ht="21.75" customHeight="1" x14ac:dyDescent="0.2">
      <c r="A9" s="239" t="s">
        <v>88</v>
      </c>
      <c r="B9" s="240">
        <v>0</v>
      </c>
      <c r="C9" s="542">
        <f t="shared" si="0"/>
        <v>0</v>
      </c>
      <c r="D9" s="542"/>
      <c r="E9" s="544">
        <v>0</v>
      </c>
      <c r="F9" s="542">
        <f t="shared" si="1"/>
        <v>0</v>
      </c>
      <c r="G9" s="328">
        <v>0</v>
      </c>
      <c r="H9" s="328">
        <v>0</v>
      </c>
      <c r="I9" s="328">
        <v>0</v>
      </c>
      <c r="J9" s="526">
        <v>0</v>
      </c>
      <c r="K9" s="542">
        <v>0</v>
      </c>
      <c r="L9" s="540"/>
      <c r="M9" s="540"/>
      <c r="N9" s="437"/>
      <c r="O9" s="541"/>
      <c r="P9" s="438"/>
      <c r="Q9" s="438"/>
      <c r="R9" s="543"/>
      <c r="S9" s="543"/>
      <c r="T9" s="543"/>
    </row>
    <row r="10" spans="1:21" s="285" customFormat="1" ht="21.75" customHeight="1" x14ac:dyDescent="0.2">
      <c r="A10" s="239" t="s">
        <v>79</v>
      </c>
      <c r="B10" s="240">
        <v>0</v>
      </c>
      <c r="C10" s="542">
        <f t="shared" si="0"/>
        <v>0</v>
      </c>
      <c r="D10" s="542"/>
      <c r="E10" s="544">
        <v>0</v>
      </c>
      <c r="F10" s="542">
        <f t="shared" si="1"/>
        <v>0</v>
      </c>
      <c r="G10" s="328">
        <v>0</v>
      </c>
      <c r="H10" s="328">
        <v>0</v>
      </c>
      <c r="I10" s="328">
        <v>0</v>
      </c>
      <c r="J10" s="526">
        <v>0</v>
      </c>
      <c r="K10" s="542">
        <v>0</v>
      </c>
      <c r="L10" s="540"/>
      <c r="M10" s="540"/>
      <c r="N10" s="584"/>
      <c r="O10" s="541"/>
      <c r="P10" s="438"/>
      <c r="Q10" s="438"/>
      <c r="R10" s="543"/>
      <c r="S10" s="543"/>
      <c r="T10" s="543"/>
    </row>
    <row r="11" spans="1:21" s="285" customFormat="1" ht="21.75" customHeight="1" x14ac:dyDescent="0.2">
      <c r="A11" s="239" t="s">
        <v>81</v>
      </c>
      <c r="B11" s="240">
        <v>4</v>
      </c>
      <c r="C11" s="542">
        <f t="shared" si="0"/>
        <v>0.4206098843322818</v>
      </c>
      <c r="D11" s="542"/>
      <c r="E11" s="544">
        <v>4</v>
      </c>
      <c r="F11" s="542">
        <f t="shared" si="1"/>
        <v>0.54570259208731242</v>
      </c>
      <c r="G11" s="328">
        <v>408</v>
      </c>
      <c r="H11" s="328">
        <v>388</v>
      </c>
      <c r="I11" s="328">
        <v>204</v>
      </c>
      <c r="J11" s="526">
        <v>264</v>
      </c>
      <c r="K11" s="545">
        <f>I11/G11*100</f>
        <v>50</v>
      </c>
      <c r="L11" s="540"/>
      <c r="M11" s="540"/>
      <c r="N11" s="584"/>
      <c r="O11" s="541"/>
      <c r="P11" s="437"/>
      <c r="Q11" s="437"/>
    </row>
    <row r="12" spans="1:21" s="285" customFormat="1" ht="21.75" customHeight="1" x14ac:dyDescent="0.2">
      <c r="A12" s="239" t="s">
        <v>73</v>
      </c>
      <c r="B12" s="240">
        <v>0</v>
      </c>
      <c r="C12" s="542">
        <f t="shared" si="0"/>
        <v>0</v>
      </c>
      <c r="D12" s="542"/>
      <c r="E12" s="544">
        <v>0</v>
      </c>
      <c r="F12" s="542">
        <f t="shared" si="1"/>
        <v>0</v>
      </c>
      <c r="G12" s="328">
        <v>0</v>
      </c>
      <c r="H12" s="328">
        <v>0</v>
      </c>
      <c r="I12" s="328">
        <v>0</v>
      </c>
      <c r="J12" s="526">
        <v>0</v>
      </c>
      <c r="K12" s="542">
        <v>0</v>
      </c>
      <c r="L12" s="540"/>
      <c r="M12" s="540"/>
      <c r="N12" s="617"/>
      <c r="O12" s="541"/>
      <c r="P12" s="437"/>
      <c r="Q12" s="437"/>
    </row>
    <row r="13" spans="1:21" s="285" customFormat="1" ht="21.75" customHeight="1" x14ac:dyDescent="0.2">
      <c r="A13" s="239" t="s">
        <v>80</v>
      </c>
      <c r="B13" s="240">
        <v>14</v>
      </c>
      <c r="C13" s="542">
        <f t="shared" si="0"/>
        <v>1.4721345951629863</v>
      </c>
      <c r="D13" s="542"/>
      <c r="E13" s="544">
        <v>14</v>
      </c>
      <c r="F13" s="542">
        <f t="shared" si="1"/>
        <v>1.9099590723055935</v>
      </c>
      <c r="G13" s="328">
        <v>624</v>
      </c>
      <c r="H13" s="328">
        <v>500</v>
      </c>
      <c r="I13" s="328">
        <v>425</v>
      </c>
      <c r="J13" s="526">
        <v>450</v>
      </c>
      <c r="K13" s="545">
        <f>I13/G13*100</f>
        <v>68.108974358974365</v>
      </c>
      <c r="L13" s="540"/>
      <c r="M13" s="540"/>
      <c r="N13" s="617"/>
      <c r="O13" s="541"/>
      <c r="P13" s="437"/>
      <c r="Q13" s="437"/>
    </row>
    <row r="14" spans="1:21" s="285" customFormat="1" ht="21.75" customHeight="1" x14ac:dyDescent="0.2">
      <c r="A14" s="239" t="s">
        <v>283</v>
      </c>
      <c r="B14" s="585">
        <v>32</v>
      </c>
      <c r="C14" s="542">
        <f t="shared" si="0"/>
        <v>3.3648790746582544</v>
      </c>
      <c r="D14" s="542"/>
      <c r="E14" s="544">
        <v>5</v>
      </c>
      <c r="F14" s="542">
        <f t="shared" si="1"/>
        <v>0.68212824010914053</v>
      </c>
      <c r="G14" s="328">
        <v>20400</v>
      </c>
      <c r="H14" s="328">
        <v>6800</v>
      </c>
      <c r="I14" s="328">
        <v>5100</v>
      </c>
      <c r="J14" s="328">
        <v>5457</v>
      </c>
      <c r="K14" s="545">
        <f>I14/G14*100</f>
        <v>25</v>
      </c>
      <c r="L14" s="540"/>
      <c r="M14" s="540"/>
      <c r="N14" s="239"/>
      <c r="O14" s="541"/>
      <c r="P14" s="437"/>
      <c r="Q14" s="437"/>
    </row>
    <row r="15" spans="1:21" s="284" customFormat="1" ht="21.75" customHeight="1" x14ac:dyDescent="0.2">
      <c r="A15" s="239" t="s">
        <v>82</v>
      </c>
      <c r="B15" s="240">
        <v>3</v>
      </c>
      <c r="C15" s="542">
        <f t="shared" si="0"/>
        <v>0.31545741324921134</v>
      </c>
      <c r="D15" s="542"/>
      <c r="E15" s="544">
        <v>1</v>
      </c>
      <c r="F15" s="542">
        <f t="shared" si="1"/>
        <v>0.13642564802182811</v>
      </c>
      <c r="G15" s="328">
        <v>600</v>
      </c>
      <c r="H15" s="328">
        <v>600</v>
      </c>
      <c r="I15" s="328">
        <v>200</v>
      </c>
      <c r="J15" s="328">
        <v>220</v>
      </c>
      <c r="K15" s="545">
        <f>I15/G15*100</f>
        <v>33.333333333333329</v>
      </c>
      <c r="L15" s="540"/>
      <c r="M15" s="540"/>
      <c r="N15" s="239"/>
      <c r="O15" s="541"/>
      <c r="P15" s="437"/>
      <c r="Q15" s="437"/>
    </row>
    <row r="16" spans="1:21" s="284" customFormat="1" ht="21.75" customHeight="1" x14ac:dyDescent="0.2">
      <c r="A16" s="239" t="s">
        <v>83</v>
      </c>
      <c r="B16" s="240">
        <v>20</v>
      </c>
      <c r="C16" s="542">
        <f t="shared" si="0"/>
        <v>2.1030494216614093</v>
      </c>
      <c r="D16" s="542"/>
      <c r="E16" s="544">
        <v>20</v>
      </c>
      <c r="F16" s="542">
        <f t="shared" si="1"/>
        <v>2.7285129604365621</v>
      </c>
      <c r="G16" s="328">
        <v>1300</v>
      </c>
      <c r="H16" s="328">
        <v>145</v>
      </c>
      <c r="I16" s="328">
        <v>100</v>
      </c>
      <c r="J16" s="328">
        <v>170</v>
      </c>
      <c r="K16" s="545">
        <f>I16/G16*100</f>
        <v>7.6923076923076925</v>
      </c>
      <c r="L16" s="540"/>
      <c r="M16" s="540"/>
      <c r="N16" s="437"/>
      <c r="O16" s="541"/>
      <c r="P16" s="437"/>
      <c r="Q16" s="437"/>
    </row>
    <row r="17" spans="1:17" s="284" customFormat="1" ht="21.75" customHeight="1" x14ac:dyDescent="0.2">
      <c r="A17" s="239" t="s">
        <v>84</v>
      </c>
      <c r="B17" s="240">
        <v>7</v>
      </c>
      <c r="C17" s="542">
        <f t="shared" si="0"/>
        <v>0.73606729758149314</v>
      </c>
      <c r="D17" s="542"/>
      <c r="E17" s="544">
        <v>18</v>
      </c>
      <c r="F17" s="542">
        <f t="shared" si="1"/>
        <v>2.4556616643929061</v>
      </c>
      <c r="G17" s="328">
        <v>1356</v>
      </c>
      <c r="H17" s="328">
        <v>1340</v>
      </c>
      <c r="I17" s="328">
        <v>1206</v>
      </c>
      <c r="J17" s="328">
        <v>1400</v>
      </c>
      <c r="K17" s="545">
        <f>I17/G17*100</f>
        <v>88.938053097345133</v>
      </c>
      <c r="L17" s="540"/>
      <c r="M17" s="540"/>
      <c r="N17" s="437"/>
      <c r="O17" s="541"/>
      <c r="P17" s="437"/>
      <c r="Q17" s="437"/>
    </row>
    <row r="18" spans="1:17" s="284" customFormat="1" ht="21.75" customHeight="1" x14ac:dyDescent="0.2">
      <c r="A18" s="239" t="s">
        <v>85</v>
      </c>
      <c r="B18" s="240">
        <v>0</v>
      </c>
      <c r="C18" s="542">
        <f t="shared" si="0"/>
        <v>0</v>
      </c>
      <c r="D18" s="542"/>
      <c r="E18" s="544">
        <v>0</v>
      </c>
      <c r="F18" s="542">
        <f t="shared" si="1"/>
        <v>0</v>
      </c>
      <c r="G18" s="328">
        <v>0</v>
      </c>
      <c r="H18" s="328">
        <v>0</v>
      </c>
      <c r="I18" s="328">
        <v>0</v>
      </c>
      <c r="J18" s="328">
        <v>0</v>
      </c>
      <c r="K18" s="542">
        <v>0</v>
      </c>
      <c r="L18" s="540"/>
      <c r="M18" s="540"/>
      <c r="N18" s="437"/>
      <c r="O18" s="541"/>
      <c r="P18" s="437"/>
      <c r="Q18" s="437"/>
    </row>
    <row r="19" spans="1:17" s="284" customFormat="1" ht="21.75" customHeight="1" x14ac:dyDescent="0.2">
      <c r="A19" s="239" t="s">
        <v>86</v>
      </c>
      <c r="B19" s="240">
        <v>0</v>
      </c>
      <c r="C19" s="542">
        <f t="shared" si="0"/>
        <v>0</v>
      </c>
      <c r="D19" s="542"/>
      <c r="E19" s="544">
        <v>0</v>
      </c>
      <c r="F19" s="542">
        <f t="shared" si="1"/>
        <v>0</v>
      </c>
      <c r="G19" s="328">
        <v>0</v>
      </c>
      <c r="H19" s="328">
        <v>0</v>
      </c>
      <c r="I19" s="328">
        <v>0</v>
      </c>
      <c r="J19" s="526">
        <v>0</v>
      </c>
      <c r="K19" s="542">
        <v>0</v>
      </c>
      <c r="L19" s="540"/>
      <c r="M19" s="540"/>
      <c r="N19" s="437"/>
      <c r="O19" s="541"/>
      <c r="P19" s="437"/>
      <c r="Q19" s="437"/>
    </row>
    <row r="20" spans="1:17" s="284" customFormat="1" ht="21.75" customHeight="1" thickBot="1" x14ac:dyDescent="0.25">
      <c r="A20" s="242" t="s">
        <v>87</v>
      </c>
      <c r="B20" s="240">
        <v>0</v>
      </c>
      <c r="C20" s="542">
        <f t="shared" si="0"/>
        <v>0</v>
      </c>
      <c r="D20" s="542"/>
      <c r="E20" s="544">
        <v>0</v>
      </c>
      <c r="F20" s="542">
        <f t="shared" si="1"/>
        <v>0</v>
      </c>
      <c r="G20" s="328">
        <v>0</v>
      </c>
      <c r="H20" s="328">
        <v>0</v>
      </c>
      <c r="I20" s="328">
        <v>0</v>
      </c>
      <c r="J20" s="526">
        <v>0</v>
      </c>
      <c r="K20" s="542">
        <v>0</v>
      </c>
      <c r="L20" s="540"/>
      <c r="M20" s="540"/>
      <c r="N20" s="437"/>
      <c r="O20" s="541"/>
      <c r="P20" s="437"/>
      <c r="Q20" s="437"/>
    </row>
    <row r="21" spans="1:17" s="232" customFormat="1" ht="21.75" customHeight="1" thickTop="1" thickBot="1" x14ac:dyDescent="0.25">
      <c r="A21" s="251" t="s">
        <v>309</v>
      </c>
      <c r="B21" s="253">
        <f>SUM(B5:B20)</f>
        <v>951</v>
      </c>
      <c r="C21" s="259">
        <f t="shared" si="0"/>
        <v>100</v>
      </c>
      <c r="D21" s="259"/>
      <c r="E21" s="253">
        <f>SUM(E5:E20)</f>
        <v>733</v>
      </c>
      <c r="F21" s="259">
        <f t="shared" si="1"/>
        <v>100</v>
      </c>
      <c r="G21" s="253">
        <f>SUM(G5:G20)</f>
        <v>294146</v>
      </c>
      <c r="H21" s="253">
        <f>SUM(H5:H20)</f>
        <v>241656</v>
      </c>
      <c r="I21" s="253">
        <f>SUM(I5:I20)</f>
        <v>81375</v>
      </c>
      <c r="J21" s="253">
        <f>SUM(J5:J20)</f>
        <v>82111</v>
      </c>
      <c r="K21" s="259">
        <f>I21/G21*100</f>
        <v>27.664833110088189</v>
      </c>
      <c r="L21" s="243"/>
      <c r="M21" s="243"/>
      <c r="N21" s="243"/>
      <c r="O21" s="235"/>
      <c r="P21" s="234"/>
      <c r="Q21" s="234"/>
    </row>
    <row r="22" spans="1:17" s="232" customFormat="1" ht="21.75" customHeight="1" thickTop="1" x14ac:dyDescent="0.2">
      <c r="A22" s="829" t="s">
        <v>322</v>
      </c>
      <c r="B22" s="829"/>
      <c r="C22" s="829"/>
      <c r="D22" s="829"/>
      <c r="E22" s="829"/>
      <c r="F22" s="829"/>
      <c r="G22" s="829"/>
      <c r="H22" s="829"/>
      <c r="I22" s="444"/>
      <c r="J22" s="444"/>
      <c r="K22" s="243"/>
      <c r="L22" s="235"/>
      <c r="M22" s="234"/>
      <c r="N22" s="234"/>
    </row>
    <row r="23" spans="1:17" s="232" customFormat="1" ht="21.7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827"/>
      <c r="I23" s="827"/>
      <c r="J23" s="827"/>
      <c r="K23" s="243"/>
      <c r="L23" s="243"/>
      <c r="M23" s="235"/>
      <c r="N23" s="234"/>
      <c r="O23" s="234"/>
    </row>
    <row r="24" spans="1:17" s="232" customFormat="1" ht="21.75" customHeight="1" thickBot="1" x14ac:dyDescent="0.25">
      <c r="A24" s="828"/>
      <c r="B24" s="828"/>
      <c r="C24" s="828"/>
      <c r="D24" s="828"/>
      <c r="E24" s="828"/>
      <c r="F24" s="828"/>
      <c r="G24" s="828"/>
      <c r="H24" s="828"/>
      <c r="I24" s="828"/>
      <c r="J24" s="828"/>
      <c r="K24" s="243"/>
      <c r="L24" s="243"/>
      <c r="M24" s="235"/>
      <c r="N24" s="234"/>
      <c r="O24" s="234"/>
    </row>
    <row r="25" spans="1:17" ht="21.75" customHeight="1" x14ac:dyDescent="0.25">
      <c r="A25" s="823" t="s">
        <v>253</v>
      </c>
      <c r="B25" s="823"/>
      <c r="C25" s="823"/>
      <c r="D25" s="823"/>
      <c r="E25" s="823"/>
      <c r="F25" s="823"/>
      <c r="G25" s="823"/>
      <c r="H25" s="823"/>
      <c r="I25" s="823"/>
      <c r="J25" s="823"/>
      <c r="K25" s="306">
        <v>26</v>
      </c>
      <c r="L25" s="14"/>
      <c r="M25" s="14"/>
      <c r="N25" s="14"/>
      <c r="O25" s="14"/>
      <c r="P25" s="14"/>
      <c r="Q25" s="14"/>
    </row>
    <row r="26" spans="1:17" x14ac:dyDescent="0.25">
      <c r="L26" s="14"/>
      <c r="M26" s="14"/>
      <c r="N26" s="14"/>
      <c r="O26" s="14"/>
      <c r="P26" s="14"/>
      <c r="Q26" s="14"/>
    </row>
    <row r="27" spans="1:17" x14ac:dyDescent="0.25">
      <c r="L27" s="14"/>
      <c r="M27" s="14"/>
      <c r="N27" s="14"/>
      <c r="O27" s="14"/>
      <c r="P27" s="14"/>
      <c r="Q27" s="14"/>
    </row>
    <row r="28" spans="1:17" x14ac:dyDescent="0.25">
      <c r="L28" s="14"/>
      <c r="M28" s="14"/>
      <c r="N28" s="14"/>
      <c r="O28" s="14"/>
      <c r="P28" s="14"/>
      <c r="Q28" s="14"/>
    </row>
    <row r="29" spans="1:17" x14ac:dyDescent="0.25">
      <c r="L29" s="14"/>
      <c r="M29" s="14"/>
      <c r="N29" s="14"/>
      <c r="O29" s="14"/>
      <c r="P29" s="14"/>
      <c r="Q29" s="14"/>
    </row>
    <row r="30" spans="1:17" x14ac:dyDescent="0.25">
      <c r="L30" s="14"/>
      <c r="M30" s="14"/>
      <c r="N30" s="14"/>
      <c r="O30" s="14"/>
      <c r="P30" s="14"/>
      <c r="Q30" s="14"/>
    </row>
  </sheetData>
  <mergeCells count="12">
    <mergeCell ref="N7:T7"/>
    <mergeCell ref="A23:J23"/>
    <mergeCell ref="A24:J24"/>
    <mergeCell ref="A25:J25"/>
    <mergeCell ref="A22:H22"/>
    <mergeCell ref="E3:F3"/>
    <mergeCell ref="J3:J4"/>
    <mergeCell ref="A1:K1"/>
    <mergeCell ref="A2:K2"/>
    <mergeCell ref="A3:A4"/>
    <mergeCell ref="B3:C3"/>
    <mergeCell ref="K3:K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6"/>
  <sheetViews>
    <sheetView rightToLeft="1" view="pageBreakPreview" topLeftCell="A13" zoomScale="90" zoomScaleSheetLayoutView="90" workbookViewId="0">
      <selection sqref="A1:J1"/>
    </sheetView>
  </sheetViews>
  <sheetFormatPr defaultColWidth="10.42578125" defaultRowHeight="15" x14ac:dyDescent="0.25"/>
  <cols>
    <col min="1" max="1" width="11.5703125" customWidth="1"/>
    <col min="2" max="3" width="12.28515625" customWidth="1"/>
    <col min="4" max="10" width="15.28515625" customWidth="1"/>
  </cols>
  <sheetData>
    <row r="1" spans="1:19" ht="23.25" customHeight="1" x14ac:dyDescent="0.25">
      <c r="A1" s="831" t="s">
        <v>448</v>
      </c>
      <c r="B1" s="831"/>
      <c r="C1" s="831"/>
      <c r="D1" s="831"/>
      <c r="E1" s="831"/>
      <c r="F1" s="831"/>
      <c r="G1" s="831"/>
      <c r="H1" s="831"/>
      <c r="I1" s="831"/>
      <c r="J1" s="831"/>
    </row>
    <row r="2" spans="1:19" ht="23.25" customHeight="1" thickBot="1" x14ac:dyDescent="0.3">
      <c r="A2" s="836" t="s">
        <v>481</v>
      </c>
      <c r="B2" s="836"/>
      <c r="C2" s="836"/>
      <c r="D2" s="836"/>
      <c r="E2" s="836"/>
      <c r="F2" s="836"/>
      <c r="G2" s="836"/>
      <c r="H2" s="836"/>
      <c r="I2" s="836"/>
      <c r="J2" s="836"/>
    </row>
    <row r="3" spans="1:19" ht="23.25" customHeight="1" thickTop="1" x14ac:dyDescent="0.25">
      <c r="A3" s="792" t="s">
        <v>74</v>
      </c>
      <c r="B3" s="761" t="s">
        <v>261</v>
      </c>
      <c r="C3" s="761"/>
      <c r="D3" s="792" t="s">
        <v>255</v>
      </c>
      <c r="E3" s="792" t="s">
        <v>256</v>
      </c>
      <c r="F3" s="792" t="s">
        <v>258</v>
      </c>
      <c r="G3" s="761" t="s">
        <v>348</v>
      </c>
      <c r="H3" s="761"/>
      <c r="I3" s="761"/>
      <c r="J3" s="792" t="s">
        <v>257</v>
      </c>
    </row>
    <row r="4" spans="1:19" ht="23.25" customHeight="1" x14ac:dyDescent="0.25">
      <c r="A4" s="806"/>
      <c r="B4" s="167" t="s">
        <v>285</v>
      </c>
      <c r="C4" s="167" t="s">
        <v>252</v>
      </c>
      <c r="D4" s="806"/>
      <c r="E4" s="806"/>
      <c r="F4" s="806"/>
      <c r="G4" s="250" t="s">
        <v>281</v>
      </c>
      <c r="H4" s="250" t="s">
        <v>282</v>
      </c>
      <c r="I4" s="250" t="s">
        <v>25</v>
      </c>
      <c r="J4" s="793"/>
    </row>
    <row r="5" spans="1:19" s="19" customFormat="1" ht="23.25" customHeight="1" x14ac:dyDescent="0.25">
      <c r="A5" s="571" t="s">
        <v>75</v>
      </c>
      <c r="B5" s="575">
        <v>0</v>
      </c>
      <c r="C5" s="542">
        <f>B5/434*100</f>
        <v>0</v>
      </c>
      <c r="D5" s="574">
        <v>0</v>
      </c>
      <c r="E5" s="574">
        <v>0</v>
      </c>
      <c r="F5" s="574">
        <v>0</v>
      </c>
      <c r="G5" s="435">
        <v>0</v>
      </c>
      <c r="H5" s="435">
        <v>0</v>
      </c>
      <c r="I5" s="435">
        <v>0</v>
      </c>
      <c r="J5" s="641">
        <v>0</v>
      </c>
    </row>
    <row r="6" spans="1:19" s="552" customFormat="1" ht="23.25" customHeight="1" x14ac:dyDescent="0.2">
      <c r="A6" s="571" t="s">
        <v>76</v>
      </c>
      <c r="B6" s="575">
        <v>4</v>
      </c>
      <c r="C6" s="542">
        <f t="shared" ref="C6:C21" si="0">B6/434*100</f>
        <v>0.92165898617511521</v>
      </c>
      <c r="D6" s="574">
        <v>45</v>
      </c>
      <c r="E6" s="574">
        <v>0</v>
      </c>
      <c r="F6" s="574">
        <v>0</v>
      </c>
      <c r="G6" s="435">
        <v>0</v>
      </c>
      <c r="H6" s="435">
        <v>0</v>
      </c>
      <c r="I6" s="435">
        <v>0</v>
      </c>
      <c r="J6" s="546">
        <f>F6/D6*100</f>
        <v>0</v>
      </c>
      <c r="K6" s="547"/>
      <c r="M6" s="577"/>
    </row>
    <row r="7" spans="1:19" s="552" customFormat="1" ht="23.25" customHeight="1" x14ac:dyDescent="0.2">
      <c r="A7" s="239" t="s">
        <v>77</v>
      </c>
      <c r="B7" s="240">
        <v>38</v>
      </c>
      <c r="C7" s="542">
        <f t="shared" si="0"/>
        <v>8.7557603686635943</v>
      </c>
      <c r="D7" s="328">
        <v>109</v>
      </c>
      <c r="E7" s="328">
        <v>26</v>
      </c>
      <c r="F7" s="328">
        <v>26</v>
      </c>
      <c r="G7" s="241">
        <v>38</v>
      </c>
      <c r="H7" s="241">
        <v>0</v>
      </c>
      <c r="I7" s="435">
        <f>SUM(G7:H7)</f>
        <v>38</v>
      </c>
      <c r="J7" s="546">
        <f>F7/D7*100</f>
        <v>23.853211009174313</v>
      </c>
      <c r="K7" s="547"/>
      <c r="L7" s="565"/>
      <c r="M7" s="565"/>
      <c r="N7" s="565"/>
      <c r="O7" s="565"/>
      <c r="P7" s="566"/>
      <c r="Q7" s="567"/>
      <c r="R7" s="567"/>
      <c r="S7" s="567"/>
    </row>
    <row r="8" spans="1:19" s="552" customFormat="1" ht="23.25" customHeight="1" x14ac:dyDescent="0.2">
      <c r="A8" s="239" t="s">
        <v>330</v>
      </c>
      <c r="B8" s="240">
        <v>39</v>
      </c>
      <c r="C8" s="542">
        <f t="shared" si="0"/>
        <v>8.9861751152073737</v>
      </c>
      <c r="D8" s="328">
        <v>105</v>
      </c>
      <c r="E8" s="328">
        <v>0</v>
      </c>
      <c r="F8" s="328">
        <v>0</v>
      </c>
      <c r="G8" s="241">
        <v>0</v>
      </c>
      <c r="H8" s="241">
        <v>0</v>
      </c>
      <c r="I8" s="435">
        <v>0</v>
      </c>
      <c r="J8" s="546">
        <v>0</v>
      </c>
      <c r="K8" s="547"/>
      <c r="L8" s="565"/>
      <c r="M8" s="565"/>
      <c r="N8" s="565"/>
      <c r="O8" s="565"/>
      <c r="P8" s="566"/>
      <c r="Q8" s="567"/>
      <c r="R8" s="567"/>
      <c r="S8" s="567"/>
    </row>
    <row r="9" spans="1:19" s="552" customFormat="1" ht="23.25" customHeight="1" x14ac:dyDescent="0.2">
      <c r="A9" s="263" t="s">
        <v>88</v>
      </c>
      <c r="B9" s="240">
        <v>0</v>
      </c>
      <c r="C9" s="542">
        <f t="shared" si="0"/>
        <v>0</v>
      </c>
      <c r="D9" s="328">
        <v>0</v>
      </c>
      <c r="E9" s="328">
        <v>0</v>
      </c>
      <c r="F9" s="328">
        <v>0</v>
      </c>
      <c r="G9" s="241">
        <v>0</v>
      </c>
      <c r="H9" s="241">
        <v>0</v>
      </c>
      <c r="I9" s="435">
        <v>0</v>
      </c>
      <c r="J9" s="546">
        <v>0</v>
      </c>
      <c r="K9" s="547"/>
      <c r="L9" s="548"/>
      <c r="M9" s="549"/>
      <c r="N9" s="550"/>
      <c r="O9" s="550"/>
      <c r="P9" s="551"/>
      <c r="Q9" s="551"/>
      <c r="R9" s="551"/>
    </row>
    <row r="10" spans="1:19" s="552" customFormat="1" ht="23.25" customHeight="1" x14ac:dyDescent="0.2">
      <c r="A10" s="263" t="s">
        <v>79</v>
      </c>
      <c r="B10" s="240">
        <v>1</v>
      </c>
      <c r="C10" s="542">
        <f t="shared" si="0"/>
        <v>0.2304147465437788</v>
      </c>
      <c r="D10" s="328">
        <v>31</v>
      </c>
      <c r="E10" s="328">
        <v>0</v>
      </c>
      <c r="F10" s="328">
        <v>0</v>
      </c>
      <c r="G10" s="241">
        <v>0</v>
      </c>
      <c r="H10" s="241">
        <v>0</v>
      </c>
      <c r="I10" s="435">
        <v>0</v>
      </c>
      <c r="J10" s="546">
        <v>0</v>
      </c>
      <c r="K10" s="547"/>
      <c r="L10" s="548"/>
      <c r="M10" s="549"/>
      <c r="N10" s="550"/>
      <c r="O10" s="550"/>
      <c r="P10" s="551"/>
      <c r="Q10" s="551"/>
      <c r="R10" s="551"/>
    </row>
    <row r="11" spans="1:19" s="552" customFormat="1" ht="23.25" customHeight="1" x14ac:dyDescent="0.2">
      <c r="A11" s="263" t="s">
        <v>81</v>
      </c>
      <c r="B11" s="240">
        <v>47</v>
      </c>
      <c r="C11" s="542">
        <f t="shared" si="0"/>
        <v>10.829493087557603</v>
      </c>
      <c r="D11" s="328">
        <v>1668</v>
      </c>
      <c r="E11" s="328">
        <v>57</v>
      </c>
      <c r="F11" s="328">
        <v>31</v>
      </c>
      <c r="G11" s="241">
        <v>66</v>
      </c>
      <c r="H11" s="241">
        <v>0</v>
      </c>
      <c r="I11" s="435">
        <f t="shared" ref="I11:I16" si="1">SUM(G11:H11)</f>
        <v>66</v>
      </c>
      <c r="J11" s="546">
        <f t="shared" ref="J11:J16" si="2">F11/D11*100</f>
        <v>1.8585131894484412</v>
      </c>
      <c r="K11" s="547"/>
      <c r="L11" s="548"/>
      <c r="M11" s="549"/>
      <c r="N11" s="548"/>
      <c r="O11" s="548"/>
    </row>
    <row r="12" spans="1:19" s="552" customFormat="1" ht="23.25" customHeight="1" x14ac:dyDescent="0.2">
      <c r="A12" s="263" t="s">
        <v>73</v>
      </c>
      <c r="B12" s="240">
        <v>12</v>
      </c>
      <c r="C12" s="542">
        <f t="shared" si="0"/>
        <v>2.7649769585253456</v>
      </c>
      <c r="D12" s="328">
        <v>528</v>
      </c>
      <c r="E12" s="328">
        <v>0</v>
      </c>
      <c r="F12" s="328">
        <v>0</v>
      </c>
      <c r="G12" s="241">
        <v>0</v>
      </c>
      <c r="H12" s="237">
        <v>0</v>
      </c>
      <c r="I12" s="435">
        <f t="shared" si="1"/>
        <v>0</v>
      </c>
      <c r="J12" s="546">
        <f t="shared" si="2"/>
        <v>0</v>
      </c>
      <c r="K12" s="835"/>
      <c r="L12" s="835"/>
      <c r="M12" s="835"/>
      <c r="N12" s="835"/>
      <c r="O12" s="835"/>
      <c r="P12" s="835"/>
      <c r="Q12" s="835"/>
      <c r="R12" s="835"/>
    </row>
    <row r="13" spans="1:19" s="552" customFormat="1" ht="23.25" customHeight="1" x14ac:dyDescent="0.2">
      <c r="A13" s="263" t="s">
        <v>80</v>
      </c>
      <c r="B13" s="240">
        <v>29</v>
      </c>
      <c r="C13" s="542">
        <f t="shared" si="0"/>
        <v>6.6820276497695854</v>
      </c>
      <c r="D13" s="328">
        <v>1600</v>
      </c>
      <c r="E13" s="328">
        <v>500</v>
      </c>
      <c r="F13" s="328">
        <v>425</v>
      </c>
      <c r="G13" s="241">
        <v>525</v>
      </c>
      <c r="H13" s="241">
        <v>0</v>
      </c>
      <c r="I13" s="435">
        <f t="shared" si="1"/>
        <v>525</v>
      </c>
      <c r="J13" s="546">
        <f t="shared" si="2"/>
        <v>26.5625</v>
      </c>
      <c r="K13" s="547"/>
      <c r="L13" s="548"/>
      <c r="M13" s="549"/>
      <c r="N13" s="548"/>
      <c r="O13" s="548"/>
    </row>
    <row r="14" spans="1:19" s="552" customFormat="1" ht="23.25" customHeight="1" x14ac:dyDescent="0.2">
      <c r="A14" s="263" t="s">
        <v>78</v>
      </c>
      <c r="B14" s="585">
        <v>54</v>
      </c>
      <c r="C14" s="542">
        <f t="shared" si="0"/>
        <v>12.442396313364055</v>
      </c>
      <c r="D14" s="328">
        <v>1288</v>
      </c>
      <c r="E14" s="328">
        <v>36</v>
      </c>
      <c r="F14" s="328">
        <v>30</v>
      </c>
      <c r="G14" s="241">
        <v>32</v>
      </c>
      <c r="H14" s="241">
        <v>0</v>
      </c>
      <c r="I14" s="435">
        <f t="shared" si="1"/>
        <v>32</v>
      </c>
      <c r="J14" s="546">
        <f t="shared" si="2"/>
        <v>2.329192546583851</v>
      </c>
      <c r="K14" s="547"/>
      <c r="L14" s="548"/>
      <c r="M14" s="549"/>
      <c r="N14" s="548"/>
      <c r="O14" s="548"/>
    </row>
    <row r="15" spans="1:19" s="560" customFormat="1" ht="23.25" customHeight="1" x14ac:dyDescent="0.2">
      <c r="A15" s="263" t="s">
        <v>82</v>
      </c>
      <c r="B15" s="240">
        <v>23</v>
      </c>
      <c r="C15" s="542">
        <f t="shared" si="0"/>
        <v>5.2995391705069128</v>
      </c>
      <c r="D15" s="328">
        <v>285</v>
      </c>
      <c r="E15" s="328">
        <v>120</v>
      </c>
      <c r="F15" s="328">
        <v>120</v>
      </c>
      <c r="G15" s="241">
        <v>0</v>
      </c>
      <c r="H15" s="241">
        <v>240</v>
      </c>
      <c r="I15" s="435">
        <f t="shared" si="1"/>
        <v>240</v>
      </c>
      <c r="J15" s="546">
        <f t="shared" si="2"/>
        <v>42.105263157894733</v>
      </c>
      <c r="K15" s="547"/>
      <c r="L15" s="548"/>
      <c r="M15" s="549"/>
      <c r="N15" s="548"/>
      <c r="O15" s="548"/>
    </row>
    <row r="16" spans="1:19" s="560" customFormat="1" ht="23.25" customHeight="1" x14ac:dyDescent="0.2">
      <c r="A16" s="263" t="s">
        <v>83</v>
      </c>
      <c r="B16" s="240">
        <v>57</v>
      </c>
      <c r="C16" s="542">
        <f t="shared" si="0"/>
        <v>13.13364055299539</v>
      </c>
      <c r="D16" s="328">
        <v>3000</v>
      </c>
      <c r="E16" s="328">
        <v>440</v>
      </c>
      <c r="F16" s="328">
        <v>400</v>
      </c>
      <c r="G16" s="241">
        <v>250</v>
      </c>
      <c r="H16" s="241">
        <v>380</v>
      </c>
      <c r="I16" s="435">
        <f t="shared" si="1"/>
        <v>630</v>
      </c>
      <c r="J16" s="546">
        <f t="shared" si="2"/>
        <v>13.333333333333334</v>
      </c>
      <c r="K16" s="547"/>
      <c r="L16" s="548"/>
      <c r="M16" s="549"/>
      <c r="N16" s="548"/>
      <c r="O16" s="548"/>
    </row>
    <row r="17" spans="1:15" s="560" customFormat="1" ht="23.25" customHeight="1" x14ac:dyDescent="0.2">
      <c r="A17" s="263" t="s">
        <v>84</v>
      </c>
      <c r="B17" s="240">
        <v>28</v>
      </c>
      <c r="C17" s="542">
        <f t="shared" si="0"/>
        <v>6.4516129032258061</v>
      </c>
      <c r="D17" s="328">
        <v>560</v>
      </c>
      <c r="E17" s="328">
        <v>0</v>
      </c>
      <c r="F17" s="328">
        <v>0</v>
      </c>
      <c r="G17" s="241">
        <v>0</v>
      </c>
      <c r="H17" s="241">
        <v>0</v>
      </c>
      <c r="I17" s="435">
        <v>0</v>
      </c>
      <c r="J17" s="546">
        <v>0</v>
      </c>
      <c r="K17" s="547"/>
      <c r="L17" s="548"/>
      <c r="M17" s="549"/>
      <c r="N17" s="548"/>
      <c r="O17" s="548"/>
    </row>
    <row r="18" spans="1:15" s="560" customFormat="1" ht="23.25" customHeight="1" x14ac:dyDescent="0.2">
      <c r="A18" s="263" t="s">
        <v>85</v>
      </c>
      <c r="B18" s="240">
        <v>55</v>
      </c>
      <c r="C18" s="542">
        <f t="shared" si="0"/>
        <v>12.672811059907835</v>
      </c>
      <c r="D18" s="328">
        <v>1573</v>
      </c>
      <c r="E18" s="328">
        <v>1210</v>
      </c>
      <c r="F18" s="328">
        <v>124</v>
      </c>
      <c r="G18" s="241">
        <v>124</v>
      </c>
      <c r="H18" s="241">
        <v>0</v>
      </c>
      <c r="I18" s="435">
        <f>SUM(G18:H18)</f>
        <v>124</v>
      </c>
      <c r="J18" s="546">
        <f>F18/D18*100</f>
        <v>7.8830260648442465</v>
      </c>
      <c r="K18" s="547"/>
      <c r="L18" s="548"/>
      <c r="M18" s="549"/>
      <c r="N18" s="548"/>
      <c r="O18" s="548"/>
    </row>
    <row r="19" spans="1:15" s="560" customFormat="1" ht="23.25" customHeight="1" x14ac:dyDescent="0.2">
      <c r="A19" s="263" t="s">
        <v>86</v>
      </c>
      <c r="B19" s="240">
        <v>22</v>
      </c>
      <c r="C19" s="542">
        <f t="shared" si="0"/>
        <v>5.0691244239631335</v>
      </c>
      <c r="D19" s="328">
        <v>1260</v>
      </c>
      <c r="E19" s="328">
        <v>0</v>
      </c>
      <c r="F19" s="328">
        <v>0</v>
      </c>
      <c r="G19" s="241">
        <v>0</v>
      </c>
      <c r="H19" s="241">
        <v>0</v>
      </c>
      <c r="I19" s="435">
        <v>0</v>
      </c>
      <c r="J19" s="546">
        <v>0</v>
      </c>
      <c r="K19" s="547"/>
      <c r="L19" s="548"/>
      <c r="M19" s="549"/>
      <c r="N19" s="548"/>
      <c r="O19" s="548"/>
    </row>
    <row r="20" spans="1:15" s="560" customFormat="1" ht="23.25" customHeight="1" thickBot="1" x14ac:dyDescent="0.25">
      <c r="A20" s="592" t="s">
        <v>87</v>
      </c>
      <c r="B20" s="240">
        <v>25</v>
      </c>
      <c r="C20" s="542">
        <f t="shared" si="0"/>
        <v>5.7603686635944698</v>
      </c>
      <c r="D20" s="328">
        <v>1608</v>
      </c>
      <c r="E20" s="328">
        <v>0</v>
      </c>
      <c r="F20" s="328">
        <v>0</v>
      </c>
      <c r="G20" s="241">
        <v>0</v>
      </c>
      <c r="H20" s="237">
        <v>0</v>
      </c>
      <c r="I20" s="435">
        <v>0</v>
      </c>
      <c r="J20" s="593">
        <v>0</v>
      </c>
      <c r="K20" s="547"/>
      <c r="L20" s="548"/>
      <c r="M20" s="549"/>
      <c r="N20" s="548"/>
      <c r="O20" s="548"/>
    </row>
    <row r="21" spans="1:15" s="260" customFormat="1" ht="23.25" customHeight="1" thickTop="1" thickBot="1" x14ac:dyDescent="0.25">
      <c r="A21" s="251" t="s">
        <v>309</v>
      </c>
      <c r="B21" s="252">
        <f>SUM(B5:B20)</f>
        <v>434</v>
      </c>
      <c r="C21" s="259">
        <f t="shared" si="0"/>
        <v>100</v>
      </c>
      <c r="D21" s="254">
        <f t="shared" ref="D21:I21" si="3">SUM(D5:D20)</f>
        <v>13660</v>
      </c>
      <c r="E21" s="254">
        <f t="shared" si="3"/>
        <v>2389</v>
      </c>
      <c r="F21" s="254">
        <f t="shared" si="3"/>
        <v>1156</v>
      </c>
      <c r="G21" s="254">
        <f t="shared" si="3"/>
        <v>1035</v>
      </c>
      <c r="H21" s="254">
        <f t="shared" si="3"/>
        <v>620</v>
      </c>
      <c r="I21" s="254">
        <f t="shared" si="3"/>
        <v>1655</v>
      </c>
      <c r="J21" s="259">
        <f>F21/D21*100</f>
        <v>8.4626647144948759</v>
      </c>
      <c r="K21" s="264"/>
      <c r="L21" s="264"/>
      <c r="M21" s="262"/>
      <c r="N21" s="261"/>
      <c r="O21" s="261"/>
    </row>
    <row r="22" spans="1:15" s="232" customFormat="1" ht="19.5" customHeight="1" thickTop="1" x14ac:dyDescent="0.25">
      <c r="A22" s="829" t="s">
        <v>322</v>
      </c>
      <c r="B22" s="829"/>
      <c r="C22" s="829"/>
      <c r="D22" s="829"/>
      <c r="E22" s="829"/>
      <c r="F22" s="829"/>
      <c r="G22" s="829"/>
      <c r="H22"/>
      <c r="I22"/>
      <c r="J22"/>
      <c r="K22" s="243"/>
      <c r="L22" s="235"/>
      <c r="M22" s="234"/>
      <c r="N22" s="234"/>
    </row>
    <row r="23" spans="1:15" s="232" customFormat="1" ht="19.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246"/>
      <c r="I23" s="246"/>
      <c r="J23" s="248"/>
      <c r="K23" s="243"/>
      <c r="L23" s="243"/>
      <c r="M23" s="235"/>
      <c r="N23" s="234"/>
      <c r="O23" s="234"/>
    </row>
    <row r="24" spans="1:15" s="232" customFormat="1" ht="19.5" customHeight="1" thickBot="1" x14ac:dyDescent="0.25">
      <c r="A24" s="828"/>
      <c r="B24" s="828"/>
      <c r="C24" s="828"/>
      <c r="D24" s="828"/>
      <c r="E24" s="828"/>
      <c r="F24" s="828"/>
      <c r="G24" s="828"/>
      <c r="H24" s="246"/>
      <c r="I24" s="246"/>
      <c r="J24" s="248"/>
      <c r="K24" s="243"/>
      <c r="L24" s="243"/>
      <c r="M24" s="235"/>
      <c r="N24" s="234"/>
      <c r="O24" s="234"/>
    </row>
    <row r="25" spans="1:15" ht="19.5" customHeight="1" x14ac:dyDescent="0.25">
      <c r="A25" s="823" t="s">
        <v>253</v>
      </c>
      <c r="B25" s="823"/>
      <c r="C25" s="823"/>
      <c r="D25" s="823"/>
      <c r="E25" s="823"/>
      <c r="F25" s="823"/>
      <c r="G25" s="249"/>
      <c r="H25" s="249"/>
      <c r="I25" s="249"/>
      <c r="J25" s="306">
        <v>27</v>
      </c>
      <c r="K25" s="14"/>
      <c r="L25" s="14"/>
      <c r="M25" s="14"/>
      <c r="N25" s="14"/>
      <c r="O25" s="14"/>
    </row>
    <row r="26" spans="1:15" ht="18.75" customHeight="1" x14ac:dyDescent="0.25"/>
  </sheetData>
  <mergeCells count="14">
    <mergeCell ref="A1:J1"/>
    <mergeCell ref="A2:J2"/>
    <mergeCell ref="A3:A4"/>
    <mergeCell ref="B3:C3"/>
    <mergeCell ref="D3:D4"/>
    <mergeCell ref="E3:E4"/>
    <mergeCell ref="F3:F4"/>
    <mergeCell ref="G3:I3"/>
    <mergeCell ref="A23:G23"/>
    <mergeCell ref="A24:G24"/>
    <mergeCell ref="A25:F25"/>
    <mergeCell ref="J3:J4"/>
    <mergeCell ref="K12:R12"/>
    <mergeCell ref="A22:G22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30"/>
  <sheetViews>
    <sheetView rightToLeft="1" view="pageBreakPreview" zoomScale="90" zoomScaleSheetLayoutView="90" workbookViewId="0">
      <selection sqref="A1:AD1"/>
    </sheetView>
  </sheetViews>
  <sheetFormatPr defaultRowHeight="15" x14ac:dyDescent="0.25"/>
  <cols>
    <col min="1" max="1" width="8.42578125" customWidth="1"/>
    <col min="2" max="2" width="5.28515625" customWidth="1"/>
    <col min="3" max="4" width="5.5703125" customWidth="1"/>
    <col min="5" max="5" width="6" customWidth="1"/>
    <col min="6" max="6" width="1" customWidth="1"/>
    <col min="7" max="7" width="5.28515625" customWidth="1"/>
    <col min="8" max="9" width="5.5703125" customWidth="1"/>
    <col min="10" max="10" width="5.85546875" customWidth="1"/>
    <col min="11" max="11" width="1" customWidth="1"/>
    <col min="12" max="12" width="5.28515625" customWidth="1"/>
    <col min="13" max="14" width="5.5703125" customWidth="1"/>
    <col min="15" max="15" width="5.85546875" customWidth="1"/>
    <col min="16" max="16" width="1" customWidth="1"/>
    <col min="17" max="17" width="5.28515625" customWidth="1"/>
    <col min="18" max="19" width="5.5703125" customWidth="1"/>
    <col min="20" max="20" width="5.85546875" customWidth="1"/>
    <col min="21" max="21" width="1" customWidth="1"/>
    <col min="22" max="22" width="5.28515625" customWidth="1"/>
    <col min="23" max="24" width="5.5703125" customWidth="1"/>
    <col min="25" max="25" width="6.140625" customWidth="1"/>
    <col min="26" max="26" width="1" customWidth="1"/>
    <col min="27" max="27" width="5.28515625" customWidth="1"/>
    <col min="28" max="29" width="5.5703125" customWidth="1"/>
    <col min="30" max="30" width="6.42578125" customWidth="1"/>
  </cols>
  <sheetData>
    <row r="1" spans="1:31" ht="26.25" customHeight="1" x14ac:dyDescent="0.25">
      <c r="A1" s="841" t="s">
        <v>449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  <c r="T1" s="841"/>
      <c r="U1" s="841"/>
      <c r="V1" s="841"/>
      <c r="W1" s="841"/>
      <c r="X1" s="841"/>
      <c r="Y1" s="841"/>
      <c r="Z1" s="841"/>
      <c r="AA1" s="841"/>
      <c r="AB1" s="841"/>
      <c r="AC1" s="841"/>
      <c r="AD1" s="841"/>
    </row>
    <row r="2" spans="1:31" ht="26.25" customHeight="1" thickBot="1" x14ac:dyDescent="0.3">
      <c r="A2" s="266" t="s">
        <v>482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</row>
    <row r="3" spans="1:31" ht="26.25" customHeight="1" thickTop="1" x14ac:dyDescent="0.25">
      <c r="A3" s="838" t="s">
        <v>74</v>
      </c>
      <c r="B3" s="840" t="s">
        <v>262</v>
      </c>
      <c r="C3" s="840"/>
      <c r="D3" s="840"/>
      <c r="E3" s="840"/>
      <c r="F3" s="303"/>
      <c r="G3" s="840" t="s">
        <v>254</v>
      </c>
      <c r="H3" s="840"/>
      <c r="I3" s="840"/>
      <c r="J3" s="840"/>
      <c r="K3" s="303"/>
      <c r="L3" s="840" t="s">
        <v>259</v>
      </c>
      <c r="M3" s="840"/>
      <c r="N3" s="840"/>
      <c r="O3" s="840"/>
      <c r="P3" s="303"/>
      <c r="Q3" s="840" t="s">
        <v>344</v>
      </c>
      <c r="R3" s="840"/>
      <c r="S3" s="840"/>
      <c r="T3" s="840"/>
      <c r="U3" s="409"/>
      <c r="V3" s="840" t="s">
        <v>261</v>
      </c>
      <c r="W3" s="840"/>
      <c r="X3" s="840"/>
      <c r="Y3" s="840"/>
      <c r="Z3" s="320"/>
      <c r="AA3" s="840" t="s">
        <v>315</v>
      </c>
      <c r="AB3" s="840"/>
      <c r="AC3" s="840"/>
      <c r="AD3" s="840"/>
    </row>
    <row r="4" spans="1:31" ht="26.25" customHeight="1" x14ac:dyDescent="0.25">
      <c r="A4" s="839"/>
      <c r="B4" s="174" t="s">
        <v>286</v>
      </c>
      <c r="C4" s="174" t="s">
        <v>288</v>
      </c>
      <c r="D4" s="174" t="s">
        <v>287</v>
      </c>
      <c r="E4" s="174" t="s">
        <v>25</v>
      </c>
      <c r="F4" s="271"/>
      <c r="G4" s="174" t="s">
        <v>286</v>
      </c>
      <c r="H4" s="174" t="s">
        <v>288</v>
      </c>
      <c r="I4" s="174" t="s">
        <v>287</v>
      </c>
      <c r="J4" s="174" t="s">
        <v>25</v>
      </c>
      <c r="K4" s="271"/>
      <c r="L4" s="174" t="s">
        <v>286</v>
      </c>
      <c r="M4" s="174" t="s">
        <v>289</v>
      </c>
      <c r="N4" s="174" t="s">
        <v>287</v>
      </c>
      <c r="O4" s="174" t="s">
        <v>25</v>
      </c>
      <c r="P4" s="271"/>
      <c r="Q4" s="174" t="s">
        <v>286</v>
      </c>
      <c r="R4" s="174" t="s">
        <v>289</v>
      </c>
      <c r="S4" s="174" t="s">
        <v>287</v>
      </c>
      <c r="T4" s="174" t="s">
        <v>25</v>
      </c>
      <c r="U4" s="271"/>
      <c r="V4" s="174" t="s">
        <v>286</v>
      </c>
      <c r="W4" s="174" t="s">
        <v>288</v>
      </c>
      <c r="X4" s="174" t="s">
        <v>287</v>
      </c>
      <c r="Y4" s="174" t="s">
        <v>25</v>
      </c>
      <c r="Z4" s="321"/>
      <c r="AA4" s="174" t="s">
        <v>286</v>
      </c>
      <c r="AB4" s="174" t="s">
        <v>288</v>
      </c>
      <c r="AC4" s="174" t="s">
        <v>287</v>
      </c>
      <c r="AD4" s="174" t="s">
        <v>25</v>
      </c>
    </row>
    <row r="5" spans="1:31" s="19" customFormat="1" ht="26.25" customHeight="1" x14ac:dyDescent="0.25">
      <c r="A5" s="571" t="s">
        <v>75</v>
      </c>
      <c r="B5" s="578">
        <v>32</v>
      </c>
      <c r="C5" s="578">
        <v>0</v>
      </c>
      <c r="D5" s="578">
        <v>1</v>
      </c>
      <c r="E5" s="241">
        <f>SUM(B5:D5)</f>
        <v>33</v>
      </c>
      <c r="F5" s="298"/>
      <c r="G5" s="578">
        <v>86</v>
      </c>
      <c r="H5" s="578">
        <v>0</v>
      </c>
      <c r="I5" s="578">
        <v>11</v>
      </c>
      <c r="J5" s="241">
        <f t="shared" ref="J5:J15" si="0">SUM(G5:I5)</f>
        <v>97</v>
      </c>
      <c r="K5" s="298"/>
      <c r="L5" s="578">
        <v>0</v>
      </c>
      <c r="M5" s="578">
        <v>0</v>
      </c>
      <c r="N5" s="578">
        <v>0</v>
      </c>
      <c r="O5" s="241">
        <v>0</v>
      </c>
      <c r="P5" s="298"/>
      <c r="Q5" s="578">
        <v>359</v>
      </c>
      <c r="R5" s="578">
        <v>0</v>
      </c>
      <c r="S5" s="578">
        <v>122</v>
      </c>
      <c r="T5" s="241">
        <f>SUM(Q5:S5)</f>
        <v>481</v>
      </c>
      <c r="U5" s="298"/>
      <c r="V5" s="274">
        <v>0</v>
      </c>
      <c r="W5" s="274">
        <v>0</v>
      </c>
      <c r="X5" s="274">
        <v>0</v>
      </c>
      <c r="Y5" s="642">
        <f>SUM(V5:X5)</f>
        <v>0</v>
      </c>
      <c r="Z5" s="643"/>
      <c r="AA5" s="274">
        <f t="shared" ref="AA5:AA20" si="1">B5+G5+L5+Q5+V5</f>
        <v>477</v>
      </c>
      <c r="AB5" s="274">
        <f t="shared" ref="AB5:AB20" si="2">C5+H5+M5+R5+W5</f>
        <v>0</v>
      </c>
      <c r="AC5" s="274">
        <f t="shared" ref="AC5:AC20" si="3">D5+I5+N5+S5+X5</f>
        <v>134</v>
      </c>
      <c r="AD5" s="241">
        <f t="shared" ref="AD5:AD20" si="4">SUM(AA5:AC5)</f>
        <v>611</v>
      </c>
    </row>
    <row r="6" spans="1:31" s="19" customFormat="1" ht="22.5" customHeight="1" x14ac:dyDescent="0.25">
      <c r="A6" s="571" t="s">
        <v>76</v>
      </c>
      <c r="B6" s="578">
        <v>11</v>
      </c>
      <c r="C6" s="578">
        <v>0</v>
      </c>
      <c r="D6" s="578">
        <v>1</v>
      </c>
      <c r="E6" s="241">
        <v>12</v>
      </c>
      <c r="F6" s="298"/>
      <c r="G6" s="578">
        <v>67</v>
      </c>
      <c r="H6" s="578">
        <v>0</v>
      </c>
      <c r="I6" s="578">
        <v>30</v>
      </c>
      <c r="J6" s="241">
        <f t="shared" si="0"/>
        <v>97</v>
      </c>
      <c r="K6" s="298"/>
      <c r="L6" s="578">
        <v>2</v>
      </c>
      <c r="M6" s="578">
        <v>0</v>
      </c>
      <c r="N6" s="578">
        <v>6</v>
      </c>
      <c r="O6" s="241">
        <f>SUM(L6:N6)</f>
        <v>8</v>
      </c>
      <c r="P6" s="298"/>
      <c r="Q6" s="578">
        <v>147</v>
      </c>
      <c r="R6" s="578">
        <v>0</v>
      </c>
      <c r="S6" s="578">
        <v>31</v>
      </c>
      <c r="T6" s="241">
        <f>SUM(Q6:S6)</f>
        <v>178</v>
      </c>
      <c r="U6" s="298"/>
      <c r="V6" s="578">
        <v>0</v>
      </c>
      <c r="W6" s="578">
        <v>0</v>
      </c>
      <c r="X6" s="578">
        <v>4</v>
      </c>
      <c r="Y6" s="241">
        <f>SUM(V6:X6)</f>
        <v>4</v>
      </c>
      <c r="Z6" s="433"/>
      <c r="AA6" s="578">
        <f t="shared" si="1"/>
        <v>227</v>
      </c>
      <c r="AB6" s="578">
        <f t="shared" si="2"/>
        <v>0</v>
      </c>
      <c r="AC6" s="578">
        <f t="shared" si="3"/>
        <v>72</v>
      </c>
      <c r="AD6" s="241">
        <f t="shared" si="4"/>
        <v>299</v>
      </c>
    </row>
    <row r="7" spans="1:31" s="19" customFormat="1" ht="22.5" customHeight="1" x14ac:dyDescent="0.25">
      <c r="A7" s="239" t="s">
        <v>77</v>
      </c>
      <c r="B7" s="274">
        <v>27</v>
      </c>
      <c r="C7" s="274">
        <v>0</v>
      </c>
      <c r="D7" s="274">
        <v>0</v>
      </c>
      <c r="E7" s="241">
        <f t="shared" ref="E7:E15" si="5">SUM(B7:D7)</f>
        <v>27</v>
      </c>
      <c r="F7" s="298"/>
      <c r="G7" s="274">
        <v>176</v>
      </c>
      <c r="H7" s="274">
        <v>0</v>
      </c>
      <c r="I7" s="274">
        <v>13</v>
      </c>
      <c r="J7" s="241">
        <f t="shared" si="0"/>
        <v>189</v>
      </c>
      <c r="K7" s="298"/>
      <c r="L7" s="274">
        <v>9</v>
      </c>
      <c r="M7" s="274">
        <v>0</v>
      </c>
      <c r="N7" s="274">
        <v>27</v>
      </c>
      <c r="O7" s="241">
        <f>SUM(L7:N7)</f>
        <v>36</v>
      </c>
      <c r="P7" s="298"/>
      <c r="Q7" s="274">
        <v>9</v>
      </c>
      <c r="R7" s="274">
        <v>0</v>
      </c>
      <c r="S7" s="274">
        <v>3</v>
      </c>
      <c r="T7" s="241">
        <f>SUM(Q7:S7)</f>
        <v>12</v>
      </c>
      <c r="U7" s="298"/>
      <c r="V7" s="274">
        <v>8</v>
      </c>
      <c r="W7" s="274">
        <v>0</v>
      </c>
      <c r="X7" s="274">
        <v>30</v>
      </c>
      <c r="Y7" s="241">
        <f>SUM(V7:X7)</f>
        <v>38</v>
      </c>
      <c r="Z7" s="433"/>
      <c r="AA7" s="274">
        <f t="shared" si="1"/>
        <v>229</v>
      </c>
      <c r="AB7" s="274">
        <f t="shared" si="2"/>
        <v>0</v>
      </c>
      <c r="AC7" s="274">
        <f t="shared" si="3"/>
        <v>73</v>
      </c>
      <c r="AD7" s="241">
        <f t="shared" si="4"/>
        <v>302</v>
      </c>
    </row>
    <row r="8" spans="1:31" s="19" customFormat="1" ht="22.5" customHeight="1" x14ac:dyDescent="0.25">
      <c r="A8" s="239" t="s">
        <v>330</v>
      </c>
      <c r="B8" s="274">
        <v>23</v>
      </c>
      <c r="C8" s="274">
        <v>2</v>
      </c>
      <c r="D8" s="274">
        <v>1</v>
      </c>
      <c r="E8" s="241">
        <f t="shared" si="5"/>
        <v>26</v>
      </c>
      <c r="F8" s="298"/>
      <c r="G8" s="274">
        <v>445</v>
      </c>
      <c r="H8" s="274">
        <v>38</v>
      </c>
      <c r="I8" s="274">
        <v>12</v>
      </c>
      <c r="J8" s="241">
        <f t="shared" si="0"/>
        <v>495</v>
      </c>
      <c r="K8" s="298"/>
      <c r="L8" s="274">
        <v>3</v>
      </c>
      <c r="M8" s="274">
        <v>0</v>
      </c>
      <c r="N8" s="274">
        <v>2</v>
      </c>
      <c r="O8" s="241">
        <f>SUM(L8:N8)</f>
        <v>5</v>
      </c>
      <c r="P8" s="298"/>
      <c r="Q8" s="274">
        <v>0</v>
      </c>
      <c r="R8" s="274">
        <v>0</v>
      </c>
      <c r="S8" s="274">
        <v>0</v>
      </c>
      <c r="T8" s="241">
        <v>0</v>
      </c>
      <c r="U8" s="298"/>
      <c r="V8" s="274">
        <v>0</v>
      </c>
      <c r="W8" s="274">
        <v>0</v>
      </c>
      <c r="X8" s="274">
        <v>39</v>
      </c>
      <c r="Y8" s="241">
        <f>SUM(V8:X8)</f>
        <v>39</v>
      </c>
      <c r="Z8" s="433"/>
      <c r="AA8" s="274">
        <f t="shared" si="1"/>
        <v>471</v>
      </c>
      <c r="AB8" s="274">
        <f t="shared" si="2"/>
        <v>40</v>
      </c>
      <c r="AC8" s="274">
        <f t="shared" si="3"/>
        <v>54</v>
      </c>
      <c r="AD8" s="241">
        <f t="shared" si="4"/>
        <v>565</v>
      </c>
    </row>
    <row r="9" spans="1:31" s="19" customFormat="1" ht="22.5" customHeight="1" x14ac:dyDescent="0.25">
      <c r="A9" s="269" t="s">
        <v>88</v>
      </c>
      <c r="B9" s="274">
        <v>13</v>
      </c>
      <c r="C9" s="274">
        <v>0</v>
      </c>
      <c r="D9" s="274">
        <v>0</v>
      </c>
      <c r="E9" s="241">
        <f t="shared" si="5"/>
        <v>13</v>
      </c>
      <c r="F9" s="298"/>
      <c r="G9" s="274">
        <v>104</v>
      </c>
      <c r="H9" s="274">
        <v>0</v>
      </c>
      <c r="I9" s="274">
        <v>0</v>
      </c>
      <c r="J9" s="241">
        <f t="shared" si="0"/>
        <v>104</v>
      </c>
      <c r="K9" s="298"/>
      <c r="L9" s="274">
        <v>0</v>
      </c>
      <c r="M9" s="274">
        <v>0</v>
      </c>
      <c r="N9" s="274">
        <v>0</v>
      </c>
      <c r="O9" s="241">
        <v>0</v>
      </c>
      <c r="P9" s="298"/>
      <c r="Q9" s="274">
        <v>0</v>
      </c>
      <c r="R9" s="274">
        <v>0</v>
      </c>
      <c r="S9" s="274">
        <v>0</v>
      </c>
      <c r="T9" s="241">
        <v>0</v>
      </c>
      <c r="U9" s="298"/>
      <c r="V9" s="274">
        <v>0</v>
      </c>
      <c r="W9" s="274">
        <v>0</v>
      </c>
      <c r="X9" s="274">
        <v>0</v>
      </c>
      <c r="Y9" s="241">
        <v>0</v>
      </c>
      <c r="Z9" s="433"/>
      <c r="AA9" s="274">
        <f t="shared" si="1"/>
        <v>117</v>
      </c>
      <c r="AB9" s="274">
        <f t="shared" si="2"/>
        <v>0</v>
      </c>
      <c r="AC9" s="274">
        <f t="shared" si="3"/>
        <v>0</v>
      </c>
      <c r="AD9" s="241">
        <f t="shared" si="4"/>
        <v>117</v>
      </c>
    </row>
    <row r="10" spans="1:31" s="19" customFormat="1" ht="22.5" customHeight="1" x14ac:dyDescent="0.25">
      <c r="A10" s="269" t="s">
        <v>79</v>
      </c>
      <c r="B10" s="274">
        <v>12</v>
      </c>
      <c r="C10" s="274">
        <v>0</v>
      </c>
      <c r="D10" s="274">
        <v>0</v>
      </c>
      <c r="E10" s="241">
        <f t="shared" si="5"/>
        <v>12</v>
      </c>
      <c r="F10" s="298"/>
      <c r="G10" s="274">
        <v>186</v>
      </c>
      <c r="H10" s="274">
        <v>0</v>
      </c>
      <c r="I10" s="274">
        <v>66</v>
      </c>
      <c r="J10" s="241">
        <f t="shared" si="0"/>
        <v>252</v>
      </c>
      <c r="K10" s="298"/>
      <c r="L10" s="274">
        <v>0</v>
      </c>
      <c r="M10" s="274">
        <v>0</v>
      </c>
      <c r="N10" s="274">
        <v>5</v>
      </c>
      <c r="O10" s="241">
        <f t="shared" ref="O10:O20" si="6">SUM(L10:N10)</f>
        <v>5</v>
      </c>
      <c r="P10" s="298"/>
      <c r="Q10" s="274">
        <v>0</v>
      </c>
      <c r="R10" s="274">
        <v>0</v>
      </c>
      <c r="S10" s="274">
        <v>0</v>
      </c>
      <c r="T10" s="241">
        <v>0</v>
      </c>
      <c r="U10" s="298"/>
      <c r="V10" s="274">
        <v>0</v>
      </c>
      <c r="W10" s="274">
        <v>0</v>
      </c>
      <c r="X10" s="274">
        <v>1</v>
      </c>
      <c r="Y10" s="241">
        <f t="shared" ref="Y10:Y20" si="7">SUM(V10:X10)</f>
        <v>1</v>
      </c>
      <c r="Z10" s="433"/>
      <c r="AA10" s="274">
        <f t="shared" si="1"/>
        <v>198</v>
      </c>
      <c r="AB10" s="274">
        <f t="shared" si="2"/>
        <v>0</v>
      </c>
      <c r="AC10" s="274">
        <f t="shared" si="3"/>
        <v>72</v>
      </c>
      <c r="AD10" s="241">
        <f t="shared" si="4"/>
        <v>270</v>
      </c>
    </row>
    <row r="11" spans="1:31" s="19" customFormat="1" ht="22.5" customHeight="1" x14ac:dyDescent="0.25">
      <c r="A11" s="269" t="s">
        <v>81</v>
      </c>
      <c r="B11" s="274">
        <v>18</v>
      </c>
      <c r="C11" s="274">
        <v>0</v>
      </c>
      <c r="D11" s="274">
        <v>2</v>
      </c>
      <c r="E11" s="241">
        <f t="shared" si="5"/>
        <v>20</v>
      </c>
      <c r="F11" s="298"/>
      <c r="G11" s="274">
        <v>268</v>
      </c>
      <c r="H11" s="274">
        <v>30</v>
      </c>
      <c r="I11" s="274">
        <v>19</v>
      </c>
      <c r="J11" s="241">
        <f t="shared" si="0"/>
        <v>317</v>
      </c>
      <c r="K11" s="298"/>
      <c r="L11" s="274">
        <v>2</v>
      </c>
      <c r="M11" s="274">
        <v>0</v>
      </c>
      <c r="N11" s="274">
        <v>3</v>
      </c>
      <c r="O11" s="241">
        <f t="shared" si="6"/>
        <v>5</v>
      </c>
      <c r="P11" s="298"/>
      <c r="Q11" s="274">
        <v>1</v>
      </c>
      <c r="R11" s="274">
        <v>0</v>
      </c>
      <c r="S11" s="274">
        <v>3</v>
      </c>
      <c r="T11" s="241">
        <f t="shared" ref="T11:T20" si="8">SUM(Q11:S11)</f>
        <v>4</v>
      </c>
      <c r="U11" s="298"/>
      <c r="V11" s="274">
        <v>1</v>
      </c>
      <c r="W11" s="274">
        <v>2</v>
      </c>
      <c r="X11" s="274">
        <v>44</v>
      </c>
      <c r="Y11" s="241">
        <f t="shared" si="7"/>
        <v>47</v>
      </c>
      <c r="Z11" s="433"/>
      <c r="AA11" s="274">
        <f t="shared" si="1"/>
        <v>290</v>
      </c>
      <c r="AB11" s="274">
        <f t="shared" si="2"/>
        <v>32</v>
      </c>
      <c r="AC11" s="274">
        <f t="shared" si="3"/>
        <v>71</v>
      </c>
      <c r="AD11" s="241">
        <f t="shared" si="4"/>
        <v>393</v>
      </c>
    </row>
    <row r="12" spans="1:31" s="19" customFormat="1" ht="22.5" customHeight="1" x14ac:dyDescent="0.25">
      <c r="A12" s="269" t="s">
        <v>73</v>
      </c>
      <c r="B12" s="274">
        <v>7</v>
      </c>
      <c r="C12" s="274">
        <v>0</v>
      </c>
      <c r="D12" s="274">
        <v>0</v>
      </c>
      <c r="E12" s="241">
        <f t="shared" si="5"/>
        <v>7</v>
      </c>
      <c r="F12" s="298"/>
      <c r="G12" s="274">
        <v>106</v>
      </c>
      <c r="H12" s="274">
        <v>0</v>
      </c>
      <c r="I12" s="274">
        <v>0</v>
      </c>
      <c r="J12" s="241">
        <f t="shared" si="0"/>
        <v>106</v>
      </c>
      <c r="K12" s="298"/>
      <c r="L12" s="274">
        <v>5</v>
      </c>
      <c r="M12" s="274">
        <v>0</v>
      </c>
      <c r="N12" s="274">
        <v>0</v>
      </c>
      <c r="O12" s="241">
        <f t="shared" si="6"/>
        <v>5</v>
      </c>
      <c r="P12" s="298"/>
      <c r="Q12" s="274">
        <v>0</v>
      </c>
      <c r="R12" s="274">
        <v>0</v>
      </c>
      <c r="S12" s="274">
        <v>0</v>
      </c>
      <c r="T12" s="241">
        <f t="shared" si="8"/>
        <v>0</v>
      </c>
      <c r="U12" s="298"/>
      <c r="V12" s="274">
        <v>0</v>
      </c>
      <c r="W12" s="274">
        <v>0</v>
      </c>
      <c r="X12" s="274">
        <v>12</v>
      </c>
      <c r="Y12" s="241">
        <f t="shared" si="7"/>
        <v>12</v>
      </c>
      <c r="Z12" s="433"/>
      <c r="AA12" s="274">
        <f t="shared" si="1"/>
        <v>118</v>
      </c>
      <c r="AB12" s="274">
        <f t="shared" si="2"/>
        <v>0</v>
      </c>
      <c r="AC12" s="274">
        <f t="shared" si="3"/>
        <v>12</v>
      </c>
      <c r="AD12" s="241">
        <f t="shared" si="4"/>
        <v>130</v>
      </c>
    </row>
    <row r="13" spans="1:31" s="19" customFormat="1" ht="22.5" customHeight="1" x14ac:dyDescent="0.25">
      <c r="A13" s="269" t="s">
        <v>80</v>
      </c>
      <c r="B13" s="274">
        <v>18</v>
      </c>
      <c r="C13" s="274">
        <v>0</v>
      </c>
      <c r="D13" s="274">
        <v>2</v>
      </c>
      <c r="E13" s="241">
        <f t="shared" si="5"/>
        <v>20</v>
      </c>
      <c r="F13" s="298"/>
      <c r="G13" s="274">
        <v>275</v>
      </c>
      <c r="H13" s="274">
        <v>0</v>
      </c>
      <c r="I13" s="274">
        <v>32</v>
      </c>
      <c r="J13" s="241">
        <f t="shared" si="0"/>
        <v>307</v>
      </c>
      <c r="K13" s="298"/>
      <c r="L13" s="274">
        <v>19</v>
      </c>
      <c r="M13" s="274">
        <v>0</v>
      </c>
      <c r="N13" s="274">
        <v>5</v>
      </c>
      <c r="O13" s="241">
        <f t="shared" si="6"/>
        <v>24</v>
      </c>
      <c r="P13" s="298"/>
      <c r="Q13" s="274">
        <v>13</v>
      </c>
      <c r="R13" s="274">
        <v>0</v>
      </c>
      <c r="S13" s="274">
        <v>1</v>
      </c>
      <c r="T13" s="241">
        <f t="shared" si="8"/>
        <v>14</v>
      </c>
      <c r="U13" s="298"/>
      <c r="V13" s="274">
        <v>5</v>
      </c>
      <c r="W13" s="274">
        <v>0</v>
      </c>
      <c r="X13" s="274">
        <v>24</v>
      </c>
      <c r="Y13" s="241">
        <f t="shared" si="7"/>
        <v>29</v>
      </c>
      <c r="Z13" s="433"/>
      <c r="AA13" s="274">
        <f t="shared" si="1"/>
        <v>330</v>
      </c>
      <c r="AB13" s="274">
        <f t="shared" si="2"/>
        <v>0</v>
      </c>
      <c r="AC13" s="274">
        <f t="shared" si="3"/>
        <v>64</v>
      </c>
      <c r="AD13" s="241">
        <f t="shared" si="4"/>
        <v>394</v>
      </c>
    </row>
    <row r="14" spans="1:31" s="19" customFormat="1" ht="22.5" customHeight="1" x14ac:dyDescent="0.25">
      <c r="A14" s="269" t="s">
        <v>78</v>
      </c>
      <c r="B14" s="274">
        <v>12</v>
      </c>
      <c r="C14" s="274">
        <v>8</v>
      </c>
      <c r="D14" s="274">
        <v>2</v>
      </c>
      <c r="E14" s="241">
        <f t="shared" si="5"/>
        <v>22</v>
      </c>
      <c r="F14" s="298"/>
      <c r="G14" s="274">
        <v>124</v>
      </c>
      <c r="H14" s="274">
        <v>116</v>
      </c>
      <c r="I14" s="274">
        <v>40</v>
      </c>
      <c r="J14" s="241">
        <f t="shared" si="0"/>
        <v>280</v>
      </c>
      <c r="K14" s="298"/>
      <c r="L14" s="274">
        <v>3</v>
      </c>
      <c r="M14" s="274">
        <v>0</v>
      </c>
      <c r="N14" s="274">
        <v>7</v>
      </c>
      <c r="O14" s="241">
        <f t="shared" si="6"/>
        <v>10</v>
      </c>
      <c r="P14" s="298"/>
      <c r="Q14" s="274">
        <v>5</v>
      </c>
      <c r="R14" s="274">
        <v>0</v>
      </c>
      <c r="S14" s="274">
        <v>0</v>
      </c>
      <c r="T14" s="241">
        <f t="shared" si="8"/>
        <v>5</v>
      </c>
      <c r="U14" s="298"/>
      <c r="V14" s="274">
        <v>0</v>
      </c>
      <c r="W14" s="274">
        <v>2</v>
      </c>
      <c r="X14" s="274">
        <v>52</v>
      </c>
      <c r="Y14" s="241">
        <f t="shared" si="7"/>
        <v>54</v>
      </c>
      <c r="Z14" s="433"/>
      <c r="AA14" s="274">
        <f t="shared" si="1"/>
        <v>144</v>
      </c>
      <c r="AB14" s="274">
        <f t="shared" si="2"/>
        <v>126</v>
      </c>
      <c r="AC14" s="274">
        <f t="shared" si="3"/>
        <v>101</v>
      </c>
      <c r="AD14" s="241">
        <f t="shared" si="4"/>
        <v>371</v>
      </c>
      <c r="AE14" s="241"/>
    </row>
    <row r="15" spans="1:31" s="19" customFormat="1" ht="22.5" customHeight="1" x14ac:dyDescent="0.25">
      <c r="A15" s="269" t="s">
        <v>82</v>
      </c>
      <c r="B15" s="274">
        <v>6</v>
      </c>
      <c r="C15" s="274">
        <v>0</v>
      </c>
      <c r="D15" s="274">
        <v>0</v>
      </c>
      <c r="E15" s="241">
        <f t="shared" si="5"/>
        <v>6</v>
      </c>
      <c r="F15" s="298"/>
      <c r="G15" s="274">
        <v>108</v>
      </c>
      <c r="H15" s="274">
        <v>0</v>
      </c>
      <c r="I15" s="274">
        <v>6</v>
      </c>
      <c r="J15" s="241">
        <f t="shared" si="0"/>
        <v>114</v>
      </c>
      <c r="K15" s="298"/>
      <c r="L15" s="274">
        <v>1</v>
      </c>
      <c r="M15" s="274">
        <v>0</v>
      </c>
      <c r="N15" s="274">
        <v>7</v>
      </c>
      <c r="O15" s="241">
        <f t="shared" si="6"/>
        <v>8</v>
      </c>
      <c r="P15" s="298"/>
      <c r="Q15" s="274">
        <v>1</v>
      </c>
      <c r="R15" s="274">
        <v>0</v>
      </c>
      <c r="S15" s="274">
        <v>0</v>
      </c>
      <c r="T15" s="241">
        <f t="shared" si="8"/>
        <v>1</v>
      </c>
      <c r="U15" s="298"/>
      <c r="V15" s="274">
        <v>8</v>
      </c>
      <c r="W15" s="274">
        <v>0</v>
      </c>
      <c r="X15" s="274">
        <v>15</v>
      </c>
      <c r="Y15" s="241">
        <f t="shared" si="7"/>
        <v>23</v>
      </c>
      <c r="Z15" s="433"/>
      <c r="AA15" s="274">
        <f t="shared" si="1"/>
        <v>124</v>
      </c>
      <c r="AB15" s="274">
        <f t="shared" si="2"/>
        <v>0</v>
      </c>
      <c r="AC15" s="274">
        <f t="shared" si="3"/>
        <v>28</v>
      </c>
      <c r="AD15" s="241">
        <f t="shared" si="4"/>
        <v>152</v>
      </c>
    </row>
    <row r="16" spans="1:31" s="19" customFormat="1" ht="22.5" customHeight="1" x14ac:dyDescent="0.25">
      <c r="A16" s="269" t="s">
        <v>83</v>
      </c>
      <c r="B16" s="274">
        <v>15</v>
      </c>
      <c r="C16" s="274">
        <v>0</v>
      </c>
      <c r="D16" s="274">
        <v>2</v>
      </c>
      <c r="E16" s="241">
        <f>SUM(B16:D16)</f>
        <v>17</v>
      </c>
      <c r="F16" s="298"/>
      <c r="G16" s="274">
        <v>285</v>
      </c>
      <c r="H16" s="274">
        <v>0</v>
      </c>
      <c r="I16" s="274">
        <v>25</v>
      </c>
      <c r="J16" s="241">
        <f>SUM(G16:I16)</f>
        <v>310</v>
      </c>
      <c r="K16" s="298"/>
      <c r="L16" s="274">
        <v>5</v>
      </c>
      <c r="M16" s="274">
        <v>0</v>
      </c>
      <c r="N16" s="274">
        <v>20</v>
      </c>
      <c r="O16" s="241">
        <f t="shared" si="6"/>
        <v>25</v>
      </c>
      <c r="P16" s="298"/>
      <c r="Q16" s="274">
        <v>1</v>
      </c>
      <c r="R16" s="274">
        <v>0</v>
      </c>
      <c r="S16" s="274">
        <v>19</v>
      </c>
      <c r="T16" s="241">
        <f t="shared" si="8"/>
        <v>20</v>
      </c>
      <c r="U16" s="298"/>
      <c r="V16" s="274">
        <v>19</v>
      </c>
      <c r="W16" s="274">
        <v>0</v>
      </c>
      <c r="X16" s="274">
        <v>38</v>
      </c>
      <c r="Y16" s="241">
        <f t="shared" si="7"/>
        <v>57</v>
      </c>
      <c r="Z16" s="433"/>
      <c r="AA16" s="274">
        <f t="shared" si="1"/>
        <v>325</v>
      </c>
      <c r="AB16" s="274">
        <f t="shared" si="2"/>
        <v>0</v>
      </c>
      <c r="AC16" s="274">
        <f t="shared" si="3"/>
        <v>104</v>
      </c>
      <c r="AD16" s="241">
        <f t="shared" si="4"/>
        <v>429</v>
      </c>
    </row>
    <row r="17" spans="1:31" s="19" customFormat="1" ht="22.5" customHeight="1" x14ac:dyDescent="0.25">
      <c r="A17" s="269" t="s">
        <v>84</v>
      </c>
      <c r="B17" s="274">
        <v>5</v>
      </c>
      <c r="C17" s="274">
        <v>0</v>
      </c>
      <c r="D17" s="274">
        <v>0</v>
      </c>
      <c r="E17" s="241">
        <f>SUM(B17:D17)</f>
        <v>5</v>
      </c>
      <c r="F17" s="298">
        <f>SUM(B17:E17)</f>
        <v>10</v>
      </c>
      <c r="G17" s="274">
        <v>102</v>
      </c>
      <c r="H17" s="274">
        <v>0</v>
      </c>
      <c r="I17" s="274">
        <v>5</v>
      </c>
      <c r="J17" s="241">
        <f>SUM(G17:I17)</f>
        <v>107</v>
      </c>
      <c r="K17" s="298"/>
      <c r="L17" s="274">
        <v>6</v>
      </c>
      <c r="M17" s="274">
        <v>0</v>
      </c>
      <c r="N17" s="274">
        <v>39</v>
      </c>
      <c r="O17" s="241">
        <f t="shared" si="6"/>
        <v>45</v>
      </c>
      <c r="P17" s="298"/>
      <c r="Q17" s="274">
        <v>7</v>
      </c>
      <c r="R17" s="274">
        <v>0</v>
      </c>
      <c r="S17" s="274">
        <v>11</v>
      </c>
      <c r="T17" s="241">
        <f t="shared" si="8"/>
        <v>18</v>
      </c>
      <c r="U17" s="298"/>
      <c r="V17" s="274">
        <v>0</v>
      </c>
      <c r="W17" s="274">
        <v>0</v>
      </c>
      <c r="X17" s="274">
        <v>28</v>
      </c>
      <c r="Y17" s="241">
        <f t="shared" si="7"/>
        <v>28</v>
      </c>
      <c r="Z17" s="433"/>
      <c r="AA17" s="274">
        <f t="shared" si="1"/>
        <v>120</v>
      </c>
      <c r="AB17" s="274">
        <f t="shared" si="2"/>
        <v>0</v>
      </c>
      <c r="AC17" s="274">
        <f t="shared" si="3"/>
        <v>83</v>
      </c>
      <c r="AD17" s="241">
        <f t="shared" si="4"/>
        <v>203</v>
      </c>
    </row>
    <row r="18" spans="1:31" s="19" customFormat="1" ht="22.5" customHeight="1" x14ac:dyDescent="0.25">
      <c r="A18" s="269" t="s">
        <v>85</v>
      </c>
      <c r="B18" s="274">
        <v>4</v>
      </c>
      <c r="C18" s="274">
        <v>2</v>
      </c>
      <c r="D18" s="274">
        <v>0</v>
      </c>
      <c r="E18" s="241">
        <f>SUM(B18:D18)</f>
        <v>6</v>
      </c>
      <c r="F18" s="298"/>
      <c r="G18" s="274">
        <v>186</v>
      </c>
      <c r="H18" s="274">
        <v>6</v>
      </c>
      <c r="I18" s="274">
        <v>37</v>
      </c>
      <c r="J18" s="241">
        <f>SUM(G18:I18)</f>
        <v>229</v>
      </c>
      <c r="K18" s="298"/>
      <c r="L18" s="274">
        <v>24</v>
      </c>
      <c r="M18" s="274">
        <v>0</v>
      </c>
      <c r="N18" s="274">
        <v>54</v>
      </c>
      <c r="O18" s="241">
        <f t="shared" si="6"/>
        <v>78</v>
      </c>
      <c r="P18" s="298"/>
      <c r="Q18" s="274">
        <v>0</v>
      </c>
      <c r="R18" s="274">
        <v>0</v>
      </c>
      <c r="S18" s="274">
        <v>0</v>
      </c>
      <c r="T18" s="241">
        <f t="shared" si="8"/>
        <v>0</v>
      </c>
      <c r="U18" s="298"/>
      <c r="V18" s="274">
        <v>12</v>
      </c>
      <c r="W18" s="274">
        <v>0</v>
      </c>
      <c r="X18" s="274">
        <v>43</v>
      </c>
      <c r="Y18" s="241">
        <f t="shared" si="7"/>
        <v>55</v>
      </c>
      <c r="Z18" s="433"/>
      <c r="AA18" s="274">
        <f t="shared" si="1"/>
        <v>226</v>
      </c>
      <c r="AB18" s="274">
        <f t="shared" si="2"/>
        <v>8</v>
      </c>
      <c r="AC18" s="274">
        <f t="shared" si="3"/>
        <v>134</v>
      </c>
      <c r="AD18" s="241">
        <f t="shared" si="4"/>
        <v>368</v>
      </c>
    </row>
    <row r="19" spans="1:31" s="19" customFormat="1" ht="22.5" customHeight="1" x14ac:dyDescent="0.25">
      <c r="A19" s="269" t="s">
        <v>86</v>
      </c>
      <c r="B19" s="274">
        <v>4</v>
      </c>
      <c r="C19" s="274">
        <v>0</v>
      </c>
      <c r="D19" s="274">
        <v>11</v>
      </c>
      <c r="E19" s="241">
        <f>SUM(B19:D19)</f>
        <v>15</v>
      </c>
      <c r="F19" s="298"/>
      <c r="G19" s="274">
        <v>202</v>
      </c>
      <c r="H19" s="274">
        <v>0</v>
      </c>
      <c r="I19" s="274">
        <v>57</v>
      </c>
      <c r="J19" s="241">
        <f>SUM(G19:I19)</f>
        <v>259</v>
      </c>
      <c r="K19" s="298"/>
      <c r="L19" s="274">
        <v>8</v>
      </c>
      <c r="M19" s="274">
        <v>0</v>
      </c>
      <c r="N19" s="274">
        <v>4</v>
      </c>
      <c r="O19" s="241">
        <f t="shared" si="6"/>
        <v>12</v>
      </c>
      <c r="P19" s="298"/>
      <c r="Q19" s="274">
        <v>0</v>
      </c>
      <c r="R19" s="274">
        <v>0</v>
      </c>
      <c r="S19" s="274">
        <v>0</v>
      </c>
      <c r="T19" s="241">
        <f t="shared" si="8"/>
        <v>0</v>
      </c>
      <c r="U19" s="298"/>
      <c r="V19" s="274">
        <v>0</v>
      </c>
      <c r="W19" s="274">
        <v>0</v>
      </c>
      <c r="X19" s="274">
        <v>22</v>
      </c>
      <c r="Y19" s="241">
        <f t="shared" si="7"/>
        <v>22</v>
      </c>
      <c r="Z19" s="433"/>
      <c r="AA19" s="274">
        <f t="shared" si="1"/>
        <v>214</v>
      </c>
      <c r="AB19" s="274">
        <f t="shared" si="2"/>
        <v>0</v>
      </c>
      <c r="AC19" s="274">
        <f t="shared" si="3"/>
        <v>94</v>
      </c>
      <c r="AD19" s="241">
        <f t="shared" si="4"/>
        <v>308</v>
      </c>
      <c r="AE19" s="241"/>
    </row>
    <row r="20" spans="1:31" s="19" customFormat="1" ht="22.5" customHeight="1" thickBot="1" x14ac:dyDescent="0.3">
      <c r="A20" s="269" t="s">
        <v>87</v>
      </c>
      <c r="B20" s="587">
        <v>10</v>
      </c>
      <c r="C20" s="587">
        <v>0</v>
      </c>
      <c r="D20" s="587">
        <v>0</v>
      </c>
      <c r="E20" s="241">
        <f>SUM(B20:D20)</f>
        <v>10</v>
      </c>
      <c r="F20" s="298"/>
      <c r="G20" s="587">
        <v>337</v>
      </c>
      <c r="H20" s="587">
        <v>0</v>
      </c>
      <c r="I20" s="587">
        <v>0</v>
      </c>
      <c r="J20" s="241">
        <f>SUM(G20:I20)</f>
        <v>337</v>
      </c>
      <c r="K20" s="298"/>
      <c r="L20" s="587">
        <v>12</v>
      </c>
      <c r="M20" s="587">
        <v>0</v>
      </c>
      <c r="N20" s="587">
        <v>31</v>
      </c>
      <c r="O20" s="241">
        <f t="shared" si="6"/>
        <v>43</v>
      </c>
      <c r="P20" s="298"/>
      <c r="Q20" s="274">
        <v>0</v>
      </c>
      <c r="R20" s="274">
        <v>0</v>
      </c>
      <c r="S20" s="274">
        <v>0</v>
      </c>
      <c r="T20" s="241">
        <f t="shared" si="8"/>
        <v>0</v>
      </c>
      <c r="U20" s="298"/>
      <c r="V20" s="587">
        <v>0</v>
      </c>
      <c r="W20" s="587">
        <v>0</v>
      </c>
      <c r="X20" s="587">
        <v>25</v>
      </c>
      <c r="Y20" s="588">
        <f t="shared" si="7"/>
        <v>25</v>
      </c>
      <c r="Z20" s="589"/>
      <c r="AA20" s="587">
        <f t="shared" si="1"/>
        <v>359</v>
      </c>
      <c r="AB20" s="587">
        <f t="shared" si="2"/>
        <v>0</v>
      </c>
      <c r="AC20" s="587">
        <f t="shared" si="3"/>
        <v>56</v>
      </c>
      <c r="AD20" s="241">
        <f t="shared" si="4"/>
        <v>415</v>
      </c>
    </row>
    <row r="21" spans="1:31" ht="22.5" customHeight="1" thickTop="1" thickBot="1" x14ac:dyDescent="0.3">
      <c r="A21" s="251" t="s">
        <v>309</v>
      </c>
      <c r="B21" s="252">
        <f t="shared" ref="B21:J21" si="9">SUM(B5:B20)</f>
        <v>217</v>
      </c>
      <c r="C21" s="252">
        <f t="shared" si="9"/>
        <v>12</v>
      </c>
      <c r="D21" s="252">
        <f t="shared" si="9"/>
        <v>22</v>
      </c>
      <c r="E21" s="254">
        <f t="shared" si="9"/>
        <v>251</v>
      </c>
      <c r="F21" s="299">
        <f t="shared" si="9"/>
        <v>10</v>
      </c>
      <c r="G21" s="254">
        <f t="shared" si="9"/>
        <v>3057</v>
      </c>
      <c r="H21" s="252">
        <f t="shared" si="9"/>
        <v>190</v>
      </c>
      <c r="I21" s="252">
        <f t="shared" si="9"/>
        <v>353</v>
      </c>
      <c r="J21" s="254">
        <f t="shared" si="9"/>
        <v>3600</v>
      </c>
      <c r="K21" s="299"/>
      <c r="L21" s="252">
        <f>SUM(L5:L20)</f>
        <v>99</v>
      </c>
      <c r="M21" s="252">
        <f>SUM(M5:M20)</f>
        <v>0</v>
      </c>
      <c r="N21" s="252">
        <f>SUM(N5:N20)</f>
        <v>210</v>
      </c>
      <c r="O21" s="254">
        <f>SUM(O5:O20)</f>
        <v>309</v>
      </c>
      <c r="P21" s="299"/>
      <c r="Q21" s="252">
        <f>SUM(Q5:Q20)</f>
        <v>543</v>
      </c>
      <c r="R21" s="252">
        <f>SUM(R5:R20)</f>
        <v>0</v>
      </c>
      <c r="S21" s="252">
        <f>SUM(S5:S20)</f>
        <v>190</v>
      </c>
      <c r="T21" s="254">
        <f>SUM(T5:T20)</f>
        <v>733</v>
      </c>
      <c r="U21" s="299"/>
      <c r="V21" s="252">
        <f>SUM(V5:V20)</f>
        <v>53</v>
      </c>
      <c r="W21" s="252">
        <f>SUM(W5:W20)</f>
        <v>4</v>
      </c>
      <c r="X21" s="252">
        <f>SUM(X5:X20)</f>
        <v>377</v>
      </c>
      <c r="Y21" s="254">
        <f>SUM(Y5:Y20)</f>
        <v>434</v>
      </c>
      <c r="Z21" s="254"/>
      <c r="AA21" s="252">
        <f>SUM(AA5:AA20)</f>
        <v>3969</v>
      </c>
      <c r="AB21" s="252">
        <f>SUM(AB5:AB20)</f>
        <v>206</v>
      </c>
      <c r="AC21" s="252">
        <f>SUM(AC5:AC20)</f>
        <v>1152</v>
      </c>
      <c r="AD21" s="254">
        <f>SUM(AD5:AD20)</f>
        <v>5327</v>
      </c>
    </row>
    <row r="22" spans="1:31" s="232" customFormat="1" ht="17.25" customHeight="1" thickTop="1" x14ac:dyDescent="0.2">
      <c r="A22" s="829" t="s">
        <v>322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  <c r="L22" s="829"/>
      <c r="M22" s="829"/>
      <c r="N22" s="829"/>
      <c r="O22" s="829"/>
      <c r="Q22" s="397"/>
      <c r="R22" s="398"/>
      <c r="S22" s="398"/>
    </row>
    <row r="23" spans="1:31" s="232" customFormat="1" ht="17.2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234"/>
      <c r="T23" s="234"/>
      <c r="AA23" s="500"/>
      <c r="AB23" s="500"/>
      <c r="AC23" s="500"/>
      <c r="AD23" s="500"/>
    </row>
    <row r="24" spans="1:31" s="232" customFormat="1" ht="17.25" customHeight="1" thickBot="1" x14ac:dyDescent="0.25">
      <c r="A24" s="827"/>
      <c r="B24" s="827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234"/>
      <c r="T24" s="234"/>
    </row>
    <row r="25" spans="1:31" ht="17.25" customHeight="1" x14ac:dyDescent="0.25">
      <c r="A25" s="837" t="s">
        <v>253</v>
      </c>
      <c r="B25" s="837"/>
      <c r="C25" s="837"/>
      <c r="D25" s="837"/>
      <c r="E25" s="837"/>
      <c r="F25" s="837"/>
      <c r="G25" s="837"/>
      <c r="H25" s="837"/>
      <c r="I25" s="837"/>
      <c r="J25" s="837"/>
      <c r="K25" s="837"/>
      <c r="L25" s="837"/>
      <c r="M25" s="837"/>
      <c r="N25" s="837"/>
      <c r="O25" s="837"/>
      <c r="P25" s="837"/>
      <c r="Q25" s="837"/>
      <c r="R25" s="837"/>
      <c r="S25" s="837"/>
      <c r="T25" s="837"/>
      <c r="U25" s="837"/>
      <c r="V25" s="837"/>
      <c r="W25" s="302"/>
      <c r="X25" s="302"/>
      <c r="Y25" s="307"/>
      <c r="Z25" s="307"/>
      <c r="AA25" s="307"/>
      <c r="AB25" s="307"/>
      <c r="AC25" s="307"/>
      <c r="AD25" s="307">
        <v>28</v>
      </c>
    </row>
    <row r="28" spans="1:31" x14ac:dyDescent="0.25">
      <c r="W28">
        <v>3969</v>
      </c>
      <c r="X28">
        <v>206</v>
      </c>
      <c r="Y28">
        <v>1152</v>
      </c>
      <c r="Z28">
        <v>5327</v>
      </c>
    </row>
    <row r="30" spans="1:31" x14ac:dyDescent="0.25">
      <c r="H30" s="434"/>
    </row>
  </sheetData>
  <mergeCells count="12">
    <mergeCell ref="A25:V25"/>
    <mergeCell ref="A3:A4"/>
    <mergeCell ref="B3:E3"/>
    <mergeCell ref="AA3:AD3"/>
    <mergeCell ref="A1:AD1"/>
    <mergeCell ref="G3:J3"/>
    <mergeCell ref="L3:O3"/>
    <mergeCell ref="V3:Y3"/>
    <mergeCell ref="A23:N23"/>
    <mergeCell ref="A24:N24"/>
    <mergeCell ref="Q3:T3"/>
    <mergeCell ref="A22:O2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1"/>
  <sheetViews>
    <sheetView rightToLeft="1" view="pageBreakPreview" zoomScale="90" zoomScaleSheetLayoutView="90" workbookViewId="0">
      <selection sqref="A1:S1"/>
    </sheetView>
  </sheetViews>
  <sheetFormatPr defaultRowHeight="15" x14ac:dyDescent="0.25"/>
  <cols>
    <col min="1" max="1" width="9.7109375" customWidth="1"/>
    <col min="2" max="2" width="11.5703125" customWidth="1"/>
    <col min="3" max="3" width="6.140625" customWidth="1"/>
    <col min="4" max="4" width="1.42578125" customWidth="1"/>
    <col min="5" max="5" width="12.42578125" customWidth="1"/>
    <col min="6" max="6" width="6.140625" customWidth="1"/>
    <col min="7" max="7" width="1.5703125" customWidth="1"/>
    <col min="8" max="8" width="12.42578125" customWidth="1"/>
    <col min="9" max="9" width="6.140625" customWidth="1"/>
    <col min="10" max="10" width="1.42578125" customWidth="1"/>
    <col min="11" max="11" width="12.42578125" customWidth="1"/>
    <col min="12" max="12" width="6.140625" customWidth="1"/>
    <col min="13" max="13" width="1.42578125" customWidth="1"/>
    <col min="14" max="14" width="12.42578125" customWidth="1"/>
    <col min="15" max="15" width="6.140625" customWidth="1"/>
    <col min="16" max="16" width="1.42578125" customWidth="1"/>
    <col min="17" max="17" width="12.42578125" customWidth="1"/>
    <col min="18" max="18" width="6.140625" customWidth="1"/>
    <col min="19" max="19" width="15.42578125" customWidth="1"/>
  </cols>
  <sheetData>
    <row r="1" spans="1:20" ht="34.5" customHeight="1" x14ac:dyDescent="0.25">
      <c r="A1" s="841" t="s">
        <v>466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</row>
    <row r="2" spans="1:20" ht="21.75" customHeight="1" thickBot="1" x14ac:dyDescent="0.3">
      <c r="A2" s="266" t="s">
        <v>419</v>
      </c>
      <c r="B2" s="267"/>
      <c r="C2" s="267"/>
      <c r="D2" s="267"/>
      <c r="E2" s="267"/>
      <c r="F2" s="267"/>
      <c r="G2" s="267"/>
      <c r="H2" s="267"/>
      <c r="I2" s="267"/>
      <c r="J2" s="266"/>
      <c r="K2" s="267"/>
      <c r="L2" s="267"/>
      <c r="M2" s="266"/>
      <c r="N2" s="267"/>
      <c r="O2" s="267"/>
      <c r="P2" s="267"/>
      <c r="Q2" s="267"/>
    </row>
    <row r="3" spans="1:20" ht="37.5" customHeight="1" thickTop="1" x14ac:dyDescent="0.25">
      <c r="A3" s="838" t="s">
        <v>74</v>
      </c>
      <c r="B3" s="840" t="s">
        <v>262</v>
      </c>
      <c r="C3" s="840"/>
      <c r="D3" s="313"/>
      <c r="E3" s="840" t="s">
        <v>254</v>
      </c>
      <c r="F3" s="840"/>
      <c r="G3" s="313"/>
      <c r="H3" s="840" t="s">
        <v>259</v>
      </c>
      <c r="I3" s="840"/>
      <c r="J3" s="313"/>
      <c r="K3" s="840" t="s">
        <v>344</v>
      </c>
      <c r="L3" s="840"/>
      <c r="M3" s="410"/>
      <c r="N3" s="840" t="s">
        <v>261</v>
      </c>
      <c r="O3" s="840"/>
      <c r="P3" s="313"/>
      <c r="Q3" s="840" t="s">
        <v>89</v>
      </c>
      <c r="R3" s="840"/>
      <c r="S3" s="838" t="s">
        <v>349</v>
      </c>
    </row>
    <row r="4" spans="1:20" ht="37.5" customHeight="1" x14ac:dyDescent="0.25">
      <c r="A4" s="839"/>
      <c r="B4" s="323" t="s">
        <v>311</v>
      </c>
      <c r="C4" s="324" t="s">
        <v>252</v>
      </c>
      <c r="D4" s="271"/>
      <c r="E4" s="323" t="s">
        <v>311</v>
      </c>
      <c r="F4" s="324" t="s">
        <v>252</v>
      </c>
      <c r="G4" s="271"/>
      <c r="H4" s="323" t="s">
        <v>311</v>
      </c>
      <c r="I4" s="324" t="s">
        <v>252</v>
      </c>
      <c r="J4" s="271"/>
      <c r="K4" s="323" t="s">
        <v>311</v>
      </c>
      <c r="L4" s="324" t="s">
        <v>252</v>
      </c>
      <c r="M4" s="271"/>
      <c r="N4" s="323" t="s">
        <v>311</v>
      </c>
      <c r="O4" s="324" t="s">
        <v>252</v>
      </c>
      <c r="P4" s="297"/>
      <c r="Q4" s="323" t="s">
        <v>311</v>
      </c>
      <c r="R4" s="324" t="s">
        <v>252</v>
      </c>
      <c r="S4" s="839"/>
    </row>
    <row r="5" spans="1:20" s="19" customFormat="1" ht="20.25" customHeight="1" x14ac:dyDescent="0.25">
      <c r="A5" s="571" t="s">
        <v>75</v>
      </c>
      <c r="B5" s="523">
        <v>1994375</v>
      </c>
      <c r="C5" s="394">
        <f>B5/11768414*100</f>
        <v>16.946846023601822</v>
      </c>
      <c r="D5" s="298"/>
      <c r="E5" s="523">
        <v>344375</v>
      </c>
      <c r="F5" s="524">
        <f>E5/6805406*100</f>
        <v>5.0603152846428268</v>
      </c>
      <c r="G5" s="241"/>
      <c r="H5" s="553">
        <v>0</v>
      </c>
      <c r="I5" s="525">
        <f>H5/4452*100</f>
        <v>0</v>
      </c>
      <c r="J5" s="526"/>
      <c r="K5" s="523">
        <v>8975</v>
      </c>
      <c r="L5" s="525">
        <f>K5/82111*100</f>
        <v>10.930326022092046</v>
      </c>
      <c r="M5" s="526"/>
      <c r="N5" s="553">
        <v>0</v>
      </c>
      <c r="O5" s="502">
        <f>N5/1655*100</f>
        <v>0</v>
      </c>
      <c r="P5" s="268"/>
      <c r="Q5" s="527">
        <f t="shared" ref="Q5:Q15" si="0">B5+E5+H5+K5+N5</f>
        <v>2347725</v>
      </c>
      <c r="R5" s="528">
        <f>Q5/18661938*100</f>
        <v>12.580285070071501</v>
      </c>
      <c r="S5" s="268">
        <v>0</v>
      </c>
      <c r="T5" s="19">
        <v>0</v>
      </c>
    </row>
    <row r="6" spans="1:20" s="19" customFormat="1" ht="20.25" customHeight="1" x14ac:dyDescent="0.25">
      <c r="A6" s="571" t="s">
        <v>76</v>
      </c>
      <c r="B6" s="523">
        <v>678067</v>
      </c>
      <c r="C6" s="394">
        <f t="shared" ref="C6:C21" si="1">B6/11768414*100</f>
        <v>5.7617534529291712</v>
      </c>
      <c r="D6" s="298"/>
      <c r="E6" s="523">
        <v>119033</v>
      </c>
      <c r="F6" s="524">
        <f t="shared" ref="F6:F21" si="2">E6/6805406*100</f>
        <v>1.7490947637804417</v>
      </c>
      <c r="G6" s="241"/>
      <c r="H6" s="523">
        <v>1090</v>
      </c>
      <c r="I6" s="525">
        <f t="shared" ref="I6:I21" si="3">H6/4452*100</f>
        <v>24.483378256963164</v>
      </c>
      <c r="J6" s="526"/>
      <c r="K6" s="523">
        <v>64930</v>
      </c>
      <c r="L6" s="525">
        <f t="shared" ref="L6:L21" si="4">K6/82111*100</f>
        <v>79.075885082388481</v>
      </c>
      <c r="M6" s="526"/>
      <c r="N6" s="553">
        <v>0</v>
      </c>
      <c r="O6" s="502">
        <f t="shared" ref="O6:O21" si="5">N6/1655*100</f>
        <v>0</v>
      </c>
      <c r="P6" s="268"/>
      <c r="Q6" s="527">
        <f t="shared" si="0"/>
        <v>863120</v>
      </c>
      <c r="R6" s="528">
        <f t="shared" ref="R6:R20" si="6">Q6/18661938*100</f>
        <v>4.6250287617502535</v>
      </c>
      <c r="S6" s="268">
        <v>0</v>
      </c>
      <c r="T6" s="19">
        <v>0</v>
      </c>
    </row>
    <row r="7" spans="1:20" s="19" customFormat="1" ht="20.25" customHeight="1" x14ac:dyDescent="0.25">
      <c r="A7" s="239" t="s">
        <v>77</v>
      </c>
      <c r="B7" s="523">
        <v>446721</v>
      </c>
      <c r="C7" s="394">
        <f t="shared" si="1"/>
        <v>3.7959320601739539</v>
      </c>
      <c r="D7" s="298"/>
      <c r="E7" s="523">
        <v>117650</v>
      </c>
      <c r="F7" s="524">
        <f t="shared" si="2"/>
        <v>1.7287726845393208</v>
      </c>
      <c r="G7" s="241"/>
      <c r="H7" s="523">
        <v>50</v>
      </c>
      <c r="I7" s="525">
        <f t="shared" si="3"/>
        <v>1.1230907457322552</v>
      </c>
      <c r="J7" s="328"/>
      <c r="K7" s="523">
        <v>245</v>
      </c>
      <c r="L7" s="525">
        <f t="shared" si="4"/>
        <v>0.29837658778969933</v>
      </c>
      <c r="M7" s="328"/>
      <c r="N7" s="523">
        <v>38</v>
      </c>
      <c r="O7" s="502">
        <f t="shared" si="5"/>
        <v>2.2960725075528701</v>
      </c>
      <c r="P7" s="268"/>
      <c r="Q7" s="527">
        <f t="shared" si="0"/>
        <v>564704</v>
      </c>
      <c r="R7" s="528">
        <f t="shared" si="6"/>
        <v>3.025966542167271</v>
      </c>
      <c r="S7" s="268">
        <v>0</v>
      </c>
      <c r="T7" s="19">
        <v>38</v>
      </c>
    </row>
    <row r="8" spans="1:20" s="19" customFormat="1" ht="20.25" customHeight="1" x14ac:dyDescent="0.25">
      <c r="A8" s="239" t="s">
        <v>330</v>
      </c>
      <c r="B8" s="523">
        <v>176064</v>
      </c>
      <c r="C8" s="394">
        <f t="shared" si="1"/>
        <v>1.4960724529235632</v>
      </c>
      <c r="D8" s="298"/>
      <c r="E8" s="523">
        <v>355738</v>
      </c>
      <c r="F8" s="524">
        <f t="shared" si="2"/>
        <v>5.2272854845104018</v>
      </c>
      <c r="G8" s="241"/>
      <c r="H8" s="523">
        <v>160</v>
      </c>
      <c r="I8" s="525">
        <f t="shared" si="3"/>
        <v>3.5938903863432166</v>
      </c>
      <c r="J8" s="526"/>
      <c r="K8" s="553">
        <v>0</v>
      </c>
      <c r="L8" s="525">
        <f t="shared" si="4"/>
        <v>0</v>
      </c>
      <c r="M8" s="526"/>
      <c r="N8" s="553">
        <v>0</v>
      </c>
      <c r="O8" s="502">
        <f t="shared" si="5"/>
        <v>0</v>
      </c>
      <c r="P8" s="268"/>
      <c r="Q8" s="527">
        <f t="shared" si="0"/>
        <v>531962</v>
      </c>
      <c r="R8" s="528">
        <f t="shared" si="6"/>
        <v>2.8505185259966033</v>
      </c>
      <c r="S8" s="268">
        <v>0</v>
      </c>
      <c r="T8" s="19">
        <v>0</v>
      </c>
    </row>
    <row r="9" spans="1:20" s="19" customFormat="1" ht="20.25" customHeight="1" x14ac:dyDescent="0.25">
      <c r="A9" s="269" t="s">
        <v>88</v>
      </c>
      <c r="B9" s="523">
        <v>4000000</v>
      </c>
      <c r="C9" s="394">
        <f t="shared" si="1"/>
        <v>33.989286916656738</v>
      </c>
      <c r="D9" s="298"/>
      <c r="E9" s="523">
        <v>250000</v>
      </c>
      <c r="F9" s="524">
        <f t="shared" si="2"/>
        <v>3.6735501158931596</v>
      </c>
      <c r="G9" s="241"/>
      <c r="H9" s="553">
        <v>0</v>
      </c>
      <c r="I9" s="525">
        <f t="shared" si="3"/>
        <v>0</v>
      </c>
      <c r="J9" s="328"/>
      <c r="K9" s="553">
        <v>0</v>
      </c>
      <c r="L9" s="525">
        <f t="shared" si="4"/>
        <v>0</v>
      </c>
      <c r="M9" s="328"/>
      <c r="N9" s="553">
        <v>0</v>
      </c>
      <c r="O9" s="502">
        <f t="shared" si="5"/>
        <v>0</v>
      </c>
      <c r="P9" s="268"/>
      <c r="Q9" s="527">
        <f t="shared" si="0"/>
        <v>4250000</v>
      </c>
      <c r="R9" s="528">
        <f t="shared" si="6"/>
        <v>22.773626190377442</v>
      </c>
      <c r="S9" s="268">
        <v>0</v>
      </c>
      <c r="T9" s="19">
        <v>0</v>
      </c>
    </row>
    <row r="10" spans="1:20" s="19" customFormat="1" ht="20.25" customHeight="1" x14ac:dyDescent="0.25">
      <c r="A10" s="269" t="s">
        <v>79</v>
      </c>
      <c r="B10" s="523">
        <v>484425</v>
      </c>
      <c r="C10" s="394">
        <f t="shared" si="1"/>
        <v>4.1163150786503602</v>
      </c>
      <c r="D10" s="298"/>
      <c r="E10" s="523">
        <v>178092</v>
      </c>
      <c r="F10" s="524">
        <f t="shared" si="2"/>
        <v>2.6169195489585779</v>
      </c>
      <c r="G10" s="241"/>
      <c r="H10" s="553">
        <v>0</v>
      </c>
      <c r="I10" s="525">
        <f t="shared" si="3"/>
        <v>0</v>
      </c>
      <c r="J10" s="328"/>
      <c r="K10" s="553">
        <v>0</v>
      </c>
      <c r="L10" s="525">
        <f t="shared" si="4"/>
        <v>0</v>
      </c>
      <c r="M10" s="328"/>
      <c r="N10" s="553">
        <v>0</v>
      </c>
      <c r="O10" s="502">
        <f t="shared" si="5"/>
        <v>0</v>
      </c>
      <c r="P10" s="268"/>
      <c r="Q10" s="527">
        <f t="shared" si="0"/>
        <v>662517</v>
      </c>
      <c r="R10" s="528">
        <f t="shared" si="6"/>
        <v>3.550097530063598</v>
      </c>
      <c r="S10" s="268">
        <v>0</v>
      </c>
      <c r="T10" s="19">
        <v>0</v>
      </c>
    </row>
    <row r="11" spans="1:20" s="19" customFormat="1" ht="20.25" customHeight="1" x14ac:dyDescent="0.25">
      <c r="A11" s="269" t="s">
        <v>81</v>
      </c>
      <c r="B11" s="523">
        <v>492140</v>
      </c>
      <c r="C11" s="394">
        <f t="shared" si="1"/>
        <v>4.1818719157908619</v>
      </c>
      <c r="D11" s="298"/>
      <c r="E11" s="523">
        <v>589591</v>
      </c>
      <c r="F11" s="524">
        <f t="shared" si="2"/>
        <v>8.6635683455182537</v>
      </c>
      <c r="G11" s="241"/>
      <c r="H11" s="523">
        <v>277</v>
      </c>
      <c r="I11" s="525">
        <f t="shared" si="3"/>
        <v>6.2219227313566936</v>
      </c>
      <c r="J11" s="328"/>
      <c r="K11" s="523">
        <v>264</v>
      </c>
      <c r="L11" s="525">
        <f t="shared" si="4"/>
        <v>0.3215159966386964</v>
      </c>
      <c r="M11" s="328"/>
      <c r="N11" s="523">
        <v>66</v>
      </c>
      <c r="O11" s="502">
        <f t="shared" si="5"/>
        <v>3.9879154078549846</v>
      </c>
      <c r="P11" s="268"/>
      <c r="Q11" s="527">
        <f t="shared" si="0"/>
        <v>1082338</v>
      </c>
      <c r="R11" s="528">
        <f t="shared" si="6"/>
        <v>5.7997084761507622</v>
      </c>
      <c r="S11" s="268">
        <v>0</v>
      </c>
      <c r="T11" s="19">
        <v>66</v>
      </c>
    </row>
    <row r="12" spans="1:20" s="19" customFormat="1" ht="20.25" customHeight="1" x14ac:dyDescent="0.25">
      <c r="A12" s="269" t="s">
        <v>73</v>
      </c>
      <c r="B12" s="523">
        <v>619520</v>
      </c>
      <c r="C12" s="394">
        <f t="shared" si="1"/>
        <v>5.2642607576517957</v>
      </c>
      <c r="D12" s="298"/>
      <c r="E12" s="523">
        <v>119116</v>
      </c>
      <c r="F12" s="524">
        <f t="shared" si="2"/>
        <v>1.750314382418918</v>
      </c>
      <c r="G12" s="241"/>
      <c r="H12" s="553">
        <v>563</v>
      </c>
      <c r="I12" s="525">
        <f t="shared" si="3"/>
        <v>12.646001796945194</v>
      </c>
      <c r="J12" s="328"/>
      <c r="K12" s="553">
        <v>0</v>
      </c>
      <c r="L12" s="525">
        <f t="shared" si="4"/>
        <v>0</v>
      </c>
      <c r="M12" s="328"/>
      <c r="N12" s="553">
        <v>0</v>
      </c>
      <c r="O12" s="502">
        <f t="shared" si="5"/>
        <v>0</v>
      </c>
      <c r="P12" s="268"/>
      <c r="Q12" s="527">
        <f t="shared" si="0"/>
        <v>739199</v>
      </c>
      <c r="R12" s="528">
        <f t="shared" si="6"/>
        <v>3.9609980485413678</v>
      </c>
      <c r="S12" s="268">
        <v>0</v>
      </c>
      <c r="T12" s="19">
        <v>0</v>
      </c>
    </row>
    <row r="13" spans="1:20" s="19" customFormat="1" ht="20.25" customHeight="1" x14ac:dyDescent="0.25">
      <c r="A13" s="269" t="s">
        <v>80</v>
      </c>
      <c r="B13" s="523">
        <v>432774</v>
      </c>
      <c r="C13" s="394">
        <f t="shared" si="1"/>
        <v>3.6774199140173005</v>
      </c>
      <c r="D13" s="298"/>
      <c r="E13" s="523">
        <v>354947</v>
      </c>
      <c r="F13" s="524">
        <f t="shared" si="2"/>
        <v>5.2156623719437158</v>
      </c>
      <c r="G13" s="241"/>
      <c r="H13" s="523">
        <v>615</v>
      </c>
      <c r="I13" s="525">
        <f t="shared" si="3"/>
        <v>13.814016172506738</v>
      </c>
      <c r="J13" s="328"/>
      <c r="K13" s="553">
        <v>450</v>
      </c>
      <c r="L13" s="525">
        <f t="shared" si="4"/>
        <v>0.5480386306341416</v>
      </c>
      <c r="M13" s="328"/>
      <c r="N13" s="523">
        <v>525</v>
      </c>
      <c r="O13" s="502">
        <f t="shared" si="5"/>
        <v>31.722054380664655</v>
      </c>
      <c r="P13" s="268"/>
      <c r="Q13" s="527">
        <f t="shared" si="0"/>
        <v>789311</v>
      </c>
      <c r="R13" s="528">
        <f t="shared" si="6"/>
        <v>4.2295232145771786</v>
      </c>
      <c r="S13" s="268">
        <v>120</v>
      </c>
      <c r="T13" s="19">
        <v>525</v>
      </c>
    </row>
    <row r="14" spans="1:20" s="19" customFormat="1" ht="20.25" customHeight="1" x14ac:dyDescent="0.25">
      <c r="A14" s="269" t="s">
        <v>78</v>
      </c>
      <c r="B14" s="523">
        <v>477405</v>
      </c>
      <c r="C14" s="394">
        <f t="shared" si="1"/>
        <v>4.0566638801116284</v>
      </c>
      <c r="D14" s="298"/>
      <c r="E14" s="523">
        <v>396272</v>
      </c>
      <c r="F14" s="524">
        <f t="shared" si="2"/>
        <v>5.8229002061008552</v>
      </c>
      <c r="G14" s="241"/>
      <c r="H14" s="523">
        <v>47</v>
      </c>
      <c r="I14" s="525">
        <f t="shared" si="3"/>
        <v>1.0557053009883199</v>
      </c>
      <c r="J14" s="328"/>
      <c r="K14" s="523">
        <v>5457</v>
      </c>
      <c r="L14" s="525">
        <f t="shared" si="4"/>
        <v>6.6458817941566899</v>
      </c>
      <c r="M14" s="328"/>
      <c r="N14" s="523">
        <v>32</v>
      </c>
      <c r="O14" s="502">
        <f t="shared" si="5"/>
        <v>1.9335347432024168</v>
      </c>
      <c r="P14" s="268"/>
      <c r="Q14" s="527">
        <f t="shared" si="0"/>
        <v>879213</v>
      </c>
      <c r="R14" s="528">
        <f t="shared" si="6"/>
        <v>4.7112631067577224</v>
      </c>
      <c r="S14" s="268">
        <v>0</v>
      </c>
      <c r="T14" s="19">
        <v>32</v>
      </c>
    </row>
    <row r="15" spans="1:20" s="19" customFormat="1" ht="20.25" customHeight="1" x14ac:dyDescent="0.25">
      <c r="A15" s="269" t="s">
        <v>82</v>
      </c>
      <c r="B15" s="523">
        <v>418000</v>
      </c>
      <c r="C15" s="394">
        <f t="shared" si="1"/>
        <v>3.5518804827906294</v>
      </c>
      <c r="D15" s="298"/>
      <c r="E15" s="523">
        <v>606705</v>
      </c>
      <c r="F15" s="524">
        <f t="shared" si="2"/>
        <v>8.9150448922518368</v>
      </c>
      <c r="G15" s="241"/>
      <c r="H15" s="523">
        <v>500</v>
      </c>
      <c r="I15" s="525">
        <f t="shared" si="3"/>
        <v>11.230907457322552</v>
      </c>
      <c r="J15" s="328"/>
      <c r="K15" s="523">
        <v>220</v>
      </c>
      <c r="L15" s="525">
        <f t="shared" si="4"/>
        <v>0.26792999719891369</v>
      </c>
      <c r="M15" s="328"/>
      <c r="N15" s="523">
        <v>240</v>
      </c>
      <c r="O15" s="502">
        <f t="shared" si="5"/>
        <v>14.501510574018129</v>
      </c>
      <c r="P15" s="268"/>
      <c r="Q15" s="527">
        <f t="shared" si="0"/>
        <v>1025665</v>
      </c>
      <c r="R15" s="528">
        <f t="shared" si="6"/>
        <v>5.4960261897772886</v>
      </c>
      <c r="S15" s="268">
        <v>0</v>
      </c>
      <c r="T15" s="19">
        <v>240</v>
      </c>
    </row>
    <row r="16" spans="1:20" s="19" customFormat="1" ht="20.25" customHeight="1" x14ac:dyDescent="0.25">
      <c r="A16" s="269" t="s">
        <v>83</v>
      </c>
      <c r="B16" s="523">
        <v>412500</v>
      </c>
      <c r="C16" s="394">
        <f t="shared" si="1"/>
        <v>3.5051452132802261</v>
      </c>
      <c r="D16" s="298"/>
      <c r="E16" s="523">
        <v>210500</v>
      </c>
      <c r="F16" s="524">
        <f t="shared" si="2"/>
        <v>3.0931291975820399</v>
      </c>
      <c r="G16" s="241"/>
      <c r="H16" s="523">
        <v>200</v>
      </c>
      <c r="I16" s="525">
        <f t="shared" si="3"/>
        <v>4.4923629829290208</v>
      </c>
      <c r="J16" s="328"/>
      <c r="K16" s="523">
        <v>170</v>
      </c>
      <c r="L16" s="525">
        <f t="shared" si="4"/>
        <v>0.20703681601734239</v>
      </c>
      <c r="M16" s="328"/>
      <c r="N16" s="523">
        <v>630</v>
      </c>
      <c r="O16" s="502">
        <f t="shared" si="5"/>
        <v>38.066465256797585</v>
      </c>
      <c r="P16" s="268"/>
      <c r="Q16" s="527">
        <f>B16+E16+H16+K16+N16</f>
        <v>624000</v>
      </c>
      <c r="R16" s="528">
        <f t="shared" si="6"/>
        <v>3.343704174775417</v>
      </c>
      <c r="S16" s="268">
        <v>0</v>
      </c>
      <c r="T16" s="19">
        <v>630</v>
      </c>
    </row>
    <row r="17" spans="1:20" s="19" customFormat="1" ht="20.25" customHeight="1" x14ac:dyDescent="0.25">
      <c r="A17" s="269" t="s">
        <v>84</v>
      </c>
      <c r="B17" s="523">
        <f>'9'!I17</f>
        <v>174600</v>
      </c>
      <c r="C17" s="394">
        <f t="shared" si="1"/>
        <v>1.4836323739120667</v>
      </c>
      <c r="D17" s="298"/>
      <c r="E17" s="523">
        <f>'10'!I17</f>
        <v>198273</v>
      </c>
      <c r="F17" s="524">
        <f t="shared" si="2"/>
        <v>2.9134632085139374</v>
      </c>
      <c r="G17" s="241"/>
      <c r="H17" s="523">
        <f>'11'!I17</f>
        <v>200</v>
      </c>
      <c r="I17" s="525">
        <f t="shared" si="3"/>
        <v>4.4923629829290208</v>
      </c>
      <c r="J17" s="328"/>
      <c r="K17" s="523">
        <f>'12'!J17</f>
        <v>1400</v>
      </c>
      <c r="L17" s="525">
        <f t="shared" si="4"/>
        <v>1.7050090730839962</v>
      </c>
      <c r="M17" s="328"/>
      <c r="N17" s="553">
        <f>'13'!I17</f>
        <v>0</v>
      </c>
      <c r="O17" s="502">
        <f t="shared" si="5"/>
        <v>0</v>
      </c>
      <c r="P17" s="268"/>
      <c r="Q17" s="527">
        <f>B17+E17+H17+K17+N17</f>
        <v>374473</v>
      </c>
      <c r="R17" s="528">
        <f t="shared" si="6"/>
        <v>2.0066136753856969</v>
      </c>
      <c r="S17" s="268">
        <f>'11'!G17</f>
        <v>1000</v>
      </c>
      <c r="T17" s="19">
        <v>0</v>
      </c>
    </row>
    <row r="18" spans="1:20" s="19" customFormat="1" ht="20.25" customHeight="1" x14ac:dyDescent="0.25">
      <c r="A18" s="269" t="s">
        <v>85</v>
      </c>
      <c r="B18" s="523">
        <v>425932</v>
      </c>
      <c r="C18" s="394">
        <f t="shared" si="1"/>
        <v>3.6192812387463595</v>
      </c>
      <c r="D18" s="298"/>
      <c r="E18" s="523">
        <v>428474</v>
      </c>
      <c r="F18" s="524">
        <f t="shared" si="2"/>
        <v>6.2960828494288217</v>
      </c>
      <c r="G18" s="241"/>
      <c r="H18" s="523">
        <v>750</v>
      </c>
      <c r="I18" s="525">
        <f t="shared" si="3"/>
        <v>16.846361185983827</v>
      </c>
      <c r="J18" s="328"/>
      <c r="K18" s="553">
        <v>0</v>
      </c>
      <c r="L18" s="525">
        <f t="shared" si="4"/>
        <v>0</v>
      </c>
      <c r="M18" s="328"/>
      <c r="N18" s="523">
        <v>124</v>
      </c>
      <c r="O18" s="502">
        <f t="shared" si="5"/>
        <v>7.4924471299093662</v>
      </c>
      <c r="P18" s="268"/>
      <c r="Q18" s="527">
        <f>B18+E18+H18+K18+N18</f>
        <v>855280</v>
      </c>
      <c r="R18" s="528">
        <f t="shared" si="6"/>
        <v>4.5830181195543576</v>
      </c>
      <c r="S18" s="268">
        <v>1500</v>
      </c>
      <c r="T18" s="19">
        <v>124</v>
      </c>
    </row>
    <row r="19" spans="1:20" s="19" customFormat="1" ht="20.25" customHeight="1" x14ac:dyDescent="0.25">
      <c r="A19" s="269" t="s">
        <v>86</v>
      </c>
      <c r="B19" s="523">
        <f>'9'!I19</f>
        <v>135000</v>
      </c>
      <c r="C19" s="394">
        <f t="shared" si="1"/>
        <v>1.147138433437165</v>
      </c>
      <c r="D19" s="298"/>
      <c r="E19" s="523">
        <f>'10'!I19</f>
        <v>900000</v>
      </c>
      <c r="F19" s="524">
        <f t="shared" si="2"/>
        <v>13.224780417215372</v>
      </c>
      <c r="G19" s="241"/>
      <c r="H19" s="553">
        <v>0</v>
      </c>
      <c r="I19" s="525">
        <f t="shared" si="3"/>
        <v>0</v>
      </c>
      <c r="J19" s="328"/>
      <c r="K19" s="553">
        <f>'12'!J19</f>
        <v>0</v>
      </c>
      <c r="L19" s="525">
        <f t="shared" si="4"/>
        <v>0</v>
      </c>
      <c r="M19" s="328"/>
      <c r="N19" s="553">
        <f>'13'!I19</f>
        <v>0</v>
      </c>
      <c r="O19" s="502">
        <f t="shared" si="5"/>
        <v>0</v>
      </c>
      <c r="P19" s="268"/>
      <c r="Q19" s="527">
        <f>B19+E19+H19+K19+N19</f>
        <v>1035000</v>
      </c>
      <c r="R19" s="528">
        <f t="shared" si="6"/>
        <v>5.5460477898919187</v>
      </c>
      <c r="S19" s="268">
        <f>'11'!G19</f>
        <v>7950</v>
      </c>
      <c r="T19" s="19">
        <v>0</v>
      </c>
    </row>
    <row r="20" spans="1:20" s="19" customFormat="1" ht="20.25" customHeight="1" thickBot="1" x14ac:dyDescent="0.3">
      <c r="A20" s="269" t="s">
        <v>87</v>
      </c>
      <c r="B20" s="523">
        <v>400891</v>
      </c>
      <c r="C20" s="394">
        <f t="shared" si="1"/>
        <v>3.4064998053263595</v>
      </c>
      <c r="D20" s="379"/>
      <c r="E20" s="523">
        <v>1636640</v>
      </c>
      <c r="F20" s="524">
        <f t="shared" si="2"/>
        <v>24.049116246701519</v>
      </c>
      <c r="G20" s="237"/>
      <c r="H20" s="553">
        <v>0</v>
      </c>
      <c r="I20" s="525">
        <f t="shared" si="3"/>
        <v>0</v>
      </c>
      <c r="J20" s="364"/>
      <c r="K20" s="553">
        <v>0</v>
      </c>
      <c r="L20" s="525">
        <f t="shared" si="4"/>
        <v>0</v>
      </c>
      <c r="M20" s="364"/>
      <c r="N20" s="553">
        <v>0</v>
      </c>
      <c r="O20" s="502">
        <f t="shared" si="5"/>
        <v>0</v>
      </c>
      <c r="P20" s="590"/>
      <c r="Q20" s="527">
        <f>B20+E20+H20+K20+N20</f>
        <v>2037531</v>
      </c>
      <c r="R20" s="528">
        <f t="shared" si="6"/>
        <v>10.918110434189632</v>
      </c>
      <c r="S20" s="268">
        <v>10534</v>
      </c>
      <c r="T20" s="19">
        <v>0</v>
      </c>
    </row>
    <row r="21" spans="1:20" ht="20.25" customHeight="1" thickTop="1" thickBot="1" x14ac:dyDescent="0.3">
      <c r="A21" s="251" t="s">
        <v>309</v>
      </c>
      <c r="B21" s="273">
        <f>SUM(B5:B20)</f>
        <v>11768414</v>
      </c>
      <c r="C21" s="702">
        <f t="shared" si="1"/>
        <v>100</v>
      </c>
      <c r="D21" s="299"/>
      <c r="E21" s="273">
        <f>SUM(E5:E20)</f>
        <v>6805406</v>
      </c>
      <c r="F21" s="681">
        <f t="shared" si="2"/>
        <v>100</v>
      </c>
      <c r="G21" s="254"/>
      <c r="H21" s="273">
        <f>SUM(H5:H20)</f>
        <v>4452</v>
      </c>
      <c r="I21" s="681">
        <f t="shared" si="3"/>
        <v>100</v>
      </c>
      <c r="J21" s="254"/>
      <c r="K21" s="273">
        <f>SUM(K5:K20)</f>
        <v>82111</v>
      </c>
      <c r="L21" s="681">
        <f t="shared" si="4"/>
        <v>100</v>
      </c>
      <c r="M21" s="254"/>
      <c r="N21" s="273">
        <f>SUM(N5:N20)</f>
        <v>1655</v>
      </c>
      <c r="O21" s="701">
        <f t="shared" si="5"/>
        <v>100</v>
      </c>
      <c r="P21" s="270"/>
      <c r="Q21" s="273">
        <f>SUM(Q5:Q20)</f>
        <v>18662038</v>
      </c>
      <c r="R21" s="363">
        <f>SUM(R5:R20)</f>
        <v>100.00053585002799</v>
      </c>
      <c r="S21" s="273">
        <f>SUM(S5:S20)</f>
        <v>21104</v>
      </c>
      <c r="T21">
        <v>1655</v>
      </c>
    </row>
    <row r="22" spans="1:20" s="232" customFormat="1" ht="17.25" customHeight="1" thickTop="1" x14ac:dyDescent="0.2">
      <c r="A22" s="829" t="s">
        <v>322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  <c r="L22" s="444"/>
      <c r="M22" s="444"/>
      <c r="N22" s="444"/>
      <c r="O22" s="444"/>
      <c r="P22" s="444"/>
      <c r="Q22" s="444"/>
    </row>
    <row r="23" spans="1:20" s="232" customFormat="1" ht="17.2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827"/>
      <c r="P23" s="827"/>
      <c r="Q23" s="827"/>
      <c r="R23" s="234"/>
    </row>
    <row r="24" spans="1:20" s="232" customFormat="1" ht="17.25" customHeight="1" thickBot="1" x14ac:dyDescent="0.25">
      <c r="A24" s="828"/>
      <c r="B24" s="828"/>
      <c r="C24" s="828"/>
      <c r="D24" s="828"/>
      <c r="E24" s="828"/>
      <c r="F24" s="828"/>
      <c r="G24" s="828"/>
      <c r="H24" s="828"/>
      <c r="I24" s="828"/>
      <c r="J24" s="828"/>
      <c r="K24" s="828"/>
      <c r="L24" s="828"/>
      <c r="M24" s="828"/>
      <c r="N24" s="828"/>
      <c r="O24" s="828"/>
      <c r="P24" s="828"/>
      <c r="Q24" s="828"/>
      <c r="R24" s="234"/>
    </row>
    <row r="25" spans="1:20" ht="17.25" customHeight="1" x14ac:dyDescent="0.25">
      <c r="A25" s="837" t="s">
        <v>253</v>
      </c>
      <c r="B25" s="837"/>
      <c r="C25" s="837"/>
      <c r="D25" s="837"/>
      <c r="E25" s="837"/>
      <c r="F25" s="327"/>
      <c r="G25" s="327"/>
      <c r="H25" s="327"/>
      <c r="I25" s="327"/>
      <c r="J25" s="837"/>
      <c r="K25" s="837"/>
      <c r="L25" s="837"/>
      <c r="M25" s="837"/>
      <c r="N25" s="837"/>
      <c r="O25" s="837"/>
      <c r="P25" s="837"/>
      <c r="Q25" s="308"/>
      <c r="R25" s="322"/>
      <c r="S25" s="322">
        <v>29</v>
      </c>
    </row>
    <row r="31" spans="1:20" x14ac:dyDescent="0.25">
      <c r="O31">
        <v>16685776</v>
      </c>
    </row>
  </sheetData>
  <mergeCells count="14">
    <mergeCell ref="S3:S4"/>
    <mergeCell ref="A1:S1"/>
    <mergeCell ref="A25:E25"/>
    <mergeCell ref="J25:P25"/>
    <mergeCell ref="A3:A4"/>
    <mergeCell ref="B3:C3"/>
    <mergeCell ref="E3:F3"/>
    <mergeCell ref="H3:I3"/>
    <mergeCell ref="N3:O3"/>
    <mergeCell ref="Q3:R3"/>
    <mergeCell ref="A23:Q23"/>
    <mergeCell ref="A24:Q24"/>
    <mergeCell ref="K3:L3"/>
    <mergeCell ref="A22:K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26"/>
  <sheetViews>
    <sheetView rightToLeft="1" view="pageBreakPreview" topLeftCell="A10" zoomScale="90" zoomScaleNormal="110" zoomScaleSheetLayoutView="90" workbookViewId="0">
      <selection sqref="A1:T1"/>
    </sheetView>
  </sheetViews>
  <sheetFormatPr defaultRowHeight="15" x14ac:dyDescent="0.25"/>
  <cols>
    <col min="1" max="1" width="10" customWidth="1"/>
    <col min="2" max="2" width="11.7109375" customWidth="1"/>
    <col min="3" max="3" width="6.7109375" customWidth="1"/>
    <col min="4" max="4" width="1.42578125" customWidth="1"/>
    <col min="5" max="5" width="11.7109375" customWidth="1"/>
    <col min="6" max="6" width="6.7109375" customWidth="1"/>
    <col min="7" max="7" width="1.5703125" customWidth="1"/>
    <col min="8" max="8" width="11.7109375" customWidth="1"/>
    <col min="9" max="9" width="6.7109375" customWidth="1"/>
    <col min="10" max="10" width="1.42578125" customWidth="1"/>
    <col min="11" max="11" width="11.7109375" customWidth="1"/>
    <col min="12" max="12" width="6.140625" customWidth="1"/>
    <col min="13" max="13" width="1.42578125" customWidth="1"/>
    <col min="14" max="14" width="10.85546875" customWidth="1"/>
    <col min="15" max="15" width="6.7109375" customWidth="1"/>
    <col min="16" max="16" width="1.42578125" customWidth="1"/>
    <col min="17" max="17" width="12.140625" customWidth="1"/>
    <col min="18" max="18" width="9.28515625" customWidth="1"/>
    <col min="19" max="19" width="2" customWidth="1"/>
    <col min="20" max="20" width="11.7109375" customWidth="1"/>
    <col min="21" max="21" width="6.7109375" customWidth="1"/>
  </cols>
  <sheetData>
    <row r="1" spans="1:37" ht="22.5" customHeight="1" x14ac:dyDescent="0.25">
      <c r="A1" s="841" t="s">
        <v>450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  <c r="T1" s="841"/>
    </row>
    <row r="2" spans="1:37" ht="22.5" customHeight="1" thickBot="1" x14ac:dyDescent="0.3">
      <c r="A2" s="266" t="s">
        <v>483</v>
      </c>
      <c r="B2" s="267"/>
      <c r="C2" s="267"/>
      <c r="D2" s="267"/>
      <c r="E2" s="267"/>
      <c r="F2" s="267"/>
      <c r="G2" s="267"/>
      <c r="H2" s="267"/>
      <c r="I2" s="267"/>
      <c r="J2" s="266"/>
      <c r="K2" s="267"/>
      <c r="L2" s="267"/>
      <c r="M2" s="266"/>
      <c r="N2" s="267"/>
      <c r="O2" s="267"/>
      <c r="P2" s="267"/>
      <c r="Q2" s="267"/>
      <c r="R2" s="267"/>
      <c r="S2" s="267"/>
      <c r="T2" s="267"/>
    </row>
    <row r="3" spans="1:37" ht="39" customHeight="1" thickTop="1" x14ac:dyDescent="0.25">
      <c r="A3" s="838" t="s">
        <v>74</v>
      </c>
      <c r="B3" s="840" t="s">
        <v>262</v>
      </c>
      <c r="C3" s="840"/>
      <c r="D3" s="313"/>
      <c r="E3" s="840" t="s">
        <v>254</v>
      </c>
      <c r="F3" s="840"/>
      <c r="G3" s="313"/>
      <c r="H3" s="840" t="s">
        <v>259</v>
      </c>
      <c r="I3" s="840"/>
      <c r="J3" s="313"/>
      <c r="K3" s="840" t="s">
        <v>344</v>
      </c>
      <c r="L3" s="840"/>
      <c r="M3" s="410"/>
      <c r="N3" s="840" t="s">
        <v>261</v>
      </c>
      <c r="O3" s="840"/>
      <c r="P3" s="313"/>
      <c r="Q3" s="842" t="s">
        <v>318</v>
      </c>
      <c r="R3" s="842"/>
      <c r="S3" s="313"/>
      <c r="T3" s="840" t="s">
        <v>326</v>
      </c>
      <c r="U3" s="840"/>
    </row>
    <row r="4" spans="1:37" ht="29.25" customHeight="1" x14ac:dyDescent="0.25">
      <c r="A4" s="839"/>
      <c r="B4" s="323" t="s">
        <v>311</v>
      </c>
      <c r="C4" s="324" t="s">
        <v>252</v>
      </c>
      <c r="D4" s="271"/>
      <c r="E4" s="323" t="s">
        <v>311</v>
      </c>
      <c r="F4" s="324" t="s">
        <v>252</v>
      </c>
      <c r="G4" s="271"/>
      <c r="H4" s="323" t="s">
        <v>311</v>
      </c>
      <c r="I4" s="324" t="s">
        <v>252</v>
      </c>
      <c r="J4" s="271"/>
      <c r="K4" s="323" t="s">
        <v>311</v>
      </c>
      <c r="L4" s="324" t="s">
        <v>252</v>
      </c>
      <c r="M4" s="271"/>
      <c r="N4" s="323" t="s">
        <v>311</v>
      </c>
      <c r="O4" s="324" t="s">
        <v>252</v>
      </c>
      <c r="P4" s="297"/>
      <c r="Q4" s="323" t="s">
        <v>311</v>
      </c>
      <c r="R4" s="324" t="s">
        <v>252</v>
      </c>
      <c r="S4" s="297"/>
      <c r="T4" s="323" t="s">
        <v>311</v>
      </c>
      <c r="U4" s="324" t="s">
        <v>252</v>
      </c>
    </row>
    <row r="5" spans="1:37" s="19" customFormat="1" ht="21" customHeight="1" x14ac:dyDescent="0.25">
      <c r="A5" s="571" t="s">
        <v>75</v>
      </c>
      <c r="B5" s="241">
        <v>1819950</v>
      </c>
      <c r="C5" s="394">
        <f>B5/10394644*100</f>
        <v>17.508536126874571</v>
      </c>
      <c r="D5" s="298"/>
      <c r="E5" s="523">
        <v>209625</v>
      </c>
      <c r="F5" s="524">
        <f>E5/5324717*100</f>
        <v>3.936828943209564</v>
      </c>
      <c r="G5" s="241"/>
      <c r="H5" s="499">
        <v>0</v>
      </c>
      <c r="I5" s="525">
        <f>H5/14552*100</f>
        <v>0</v>
      </c>
      <c r="J5" s="526"/>
      <c r="K5" s="523">
        <v>8975</v>
      </c>
      <c r="L5" s="525">
        <f>K5/81375*100</f>
        <v>11.029185867895546</v>
      </c>
      <c r="M5" s="526"/>
      <c r="N5" s="328">
        <v>0</v>
      </c>
      <c r="O5" s="502">
        <f>N5/1156*100</f>
        <v>0</v>
      </c>
      <c r="P5" s="268"/>
      <c r="Q5" s="268">
        <v>0</v>
      </c>
      <c r="R5" s="529">
        <f>Q5/21104*100</f>
        <v>0</v>
      </c>
      <c r="S5" s="268"/>
      <c r="T5" s="527">
        <f t="shared" ref="T5:T15" si="0">B5+E5+H5+K5+N5-Q5</f>
        <v>2038550</v>
      </c>
      <c r="U5" s="528">
        <f>T5/15795340*100</f>
        <v>12.906021649423186</v>
      </c>
      <c r="V5" s="574"/>
      <c r="W5" s="241">
        <v>0</v>
      </c>
      <c r="X5" s="394"/>
      <c r="Y5" s="298"/>
      <c r="Z5" s="523">
        <v>0</v>
      </c>
      <c r="AA5" s="524"/>
      <c r="AB5" s="241"/>
      <c r="AC5" s="499">
        <v>0</v>
      </c>
      <c r="AD5" s="525"/>
      <c r="AE5" s="526"/>
      <c r="AF5" s="499">
        <v>0</v>
      </c>
      <c r="AG5" s="525"/>
      <c r="AH5" s="526"/>
      <c r="AI5" s="328">
        <v>0</v>
      </c>
      <c r="AK5" s="554">
        <f>W5+Z5+AC5+AF5+AI5</f>
        <v>0</v>
      </c>
    </row>
    <row r="6" spans="1:37" s="19" customFormat="1" ht="21" customHeight="1" x14ac:dyDescent="0.25">
      <c r="A6" s="571" t="s">
        <v>76</v>
      </c>
      <c r="B6" s="241">
        <v>616425</v>
      </c>
      <c r="C6" s="394">
        <f t="shared" ref="C6:C21" si="1">B6/10394644*100</f>
        <v>5.9302175235630967</v>
      </c>
      <c r="D6" s="298"/>
      <c r="E6" s="523">
        <v>108212</v>
      </c>
      <c r="F6" s="524">
        <f t="shared" ref="F6:F21" si="2">E6/5324717*100</f>
        <v>2.0322582402031881</v>
      </c>
      <c r="G6" s="241"/>
      <c r="H6" s="499">
        <v>991</v>
      </c>
      <c r="I6" s="525">
        <f t="shared" ref="I6:I21" si="3">H6/14552*100</f>
        <v>6.8100604727872449</v>
      </c>
      <c r="J6" s="526"/>
      <c r="K6" s="523">
        <v>64930</v>
      </c>
      <c r="L6" s="525">
        <f t="shared" ref="L6:L21" si="4">K6/81375*100</f>
        <v>79.791090629800308</v>
      </c>
      <c r="M6" s="526"/>
      <c r="N6" s="328">
        <v>0</v>
      </c>
      <c r="O6" s="502">
        <f t="shared" ref="O6:O21" si="5">N6/1156*100</f>
        <v>0</v>
      </c>
      <c r="P6" s="268"/>
      <c r="Q6" s="268">
        <v>0</v>
      </c>
      <c r="R6" s="529">
        <f t="shared" ref="R6:R21" si="6">Q6/21104*100</f>
        <v>0</v>
      </c>
      <c r="S6" s="268"/>
      <c r="T6" s="527">
        <f t="shared" si="0"/>
        <v>790558</v>
      </c>
      <c r="U6" s="528">
        <f t="shared" ref="U6:U21" si="7">T6/15795340*100</f>
        <v>5.0050078060997736</v>
      </c>
      <c r="V6" s="574"/>
      <c r="W6" s="241">
        <v>312048</v>
      </c>
      <c r="X6" s="394"/>
      <c r="Y6" s="298"/>
      <c r="Z6" s="523">
        <v>20878</v>
      </c>
      <c r="AA6" s="524"/>
      <c r="AB6" s="241"/>
      <c r="AC6" s="499">
        <v>558</v>
      </c>
      <c r="AD6" s="525"/>
      <c r="AE6" s="526"/>
      <c r="AF6" s="499">
        <v>78167</v>
      </c>
      <c r="AG6" s="525"/>
      <c r="AH6" s="526"/>
      <c r="AI6" s="328">
        <v>0</v>
      </c>
      <c r="AK6" s="554">
        <f t="shared" ref="AK6:AK20" si="8">W6+Z6+AC6+AF6+AI6</f>
        <v>411651</v>
      </c>
    </row>
    <row r="7" spans="1:37" s="19" customFormat="1" ht="21" customHeight="1" x14ac:dyDescent="0.25">
      <c r="A7" s="239" t="s">
        <v>77</v>
      </c>
      <c r="B7" s="241">
        <v>445830</v>
      </c>
      <c r="C7" s="394">
        <f t="shared" si="1"/>
        <v>4.2890357765018212</v>
      </c>
      <c r="D7" s="298"/>
      <c r="E7" s="523">
        <v>99805</v>
      </c>
      <c r="F7" s="524">
        <f t="shared" si="2"/>
        <v>1.8743719149768898</v>
      </c>
      <c r="G7" s="241"/>
      <c r="H7" s="499">
        <v>25</v>
      </c>
      <c r="I7" s="525">
        <f t="shared" si="3"/>
        <v>0.17179769103903242</v>
      </c>
      <c r="J7" s="328"/>
      <c r="K7" s="523">
        <v>235</v>
      </c>
      <c r="L7" s="525">
        <f t="shared" si="4"/>
        <v>0.28878648233486942</v>
      </c>
      <c r="M7" s="328"/>
      <c r="N7" s="328">
        <v>26</v>
      </c>
      <c r="O7" s="502">
        <f t="shared" si="5"/>
        <v>2.2491349480968861</v>
      </c>
      <c r="P7" s="268"/>
      <c r="Q7" s="268">
        <v>0</v>
      </c>
      <c r="R7" s="529">
        <f t="shared" si="6"/>
        <v>0</v>
      </c>
      <c r="S7" s="268"/>
      <c r="T7" s="527">
        <f t="shared" si="0"/>
        <v>545921</v>
      </c>
      <c r="U7" s="528">
        <f t="shared" si="7"/>
        <v>3.4562155673762009</v>
      </c>
      <c r="V7" s="328"/>
      <c r="W7" s="241">
        <v>350098</v>
      </c>
      <c r="X7" s="394"/>
      <c r="Y7" s="298"/>
      <c r="Z7" s="523">
        <v>300600</v>
      </c>
      <c r="AA7" s="524"/>
      <c r="AB7" s="241"/>
      <c r="AC7" s="499">
        <v>442</v>
      </c>
      <c r="AD7" s="525"/>
      <c r="AE7" s="328"/>
      <c r="AF7" s="499">
        <v>0</v>
      </c>
      <c r="AG7" s="525"/>
      <c r="AH7" s="328"/>
      <c r="AI7" s="328">
        <v>660</v>
      </c>
      <c r="AK7" s="554">
        <f t="shared" si="8"/>
        <v>651800</v>
      </c>
    </row>
    <row r="8" spans="1:37" s="19" customFormat="1" ht="21" customHeight="1" x14ac:dyDescent="0.25">
      <c r="A8" s="239" t="s">
        <v>330</v>
      </c>
      <c r="B8" s="241">
        <v>146720</v>
      </c>
      <c r="C8" s="394">
        <f t="shared" si="1"/>
        <v>1.4114961512871438</v>
      </c>
      <c r="D8" s="298"/>
      <c r="E8" s="523">
        <v>296448</v>
      </c>
      <c r="F8" s="524">
        <f t="shared" si="2"/>
        <v>5.5673944737344732</v>
      </c>
      <c r="G8" s="241"/>
      <c r="H8" s="499">
        <v>150</v>
      </c>
      <c r="I8" s="525">
        <f t="shared" si="3"/>
        <v>1.0307861462341945</v>
      </c>
      <c r="J8" s="526"/>
      <c r="K8" s="499">
        <v>0</v>
      </c>
      <c r="L8" s="525">
        <f t="shared" si="4"/>
        <v>0</v>
      </c>
      <c r="M8" s="526"/>
      <c r="N8" s="328">
        <v>0</v>
      </c>
      <c r="O8" s="502">
        <f t="shared" si="5"/>
        <v>0</v>
      </c>
      <c r="P8" s="268"/>
      <c r="Q8" s="268">
        <v>0</v>
      </c>
      <c r="R8" s="529">
        <f t="shared" si="6"/>
        <v>0</v>
      </c>
      <c r="S8" s="268"/>
      <c r="T8" s="527">
        <f t="shared" si="0"/>
        <v>443318</v>
      </c>
      <c r="U8" s="528">
        <f t="shared" si="7"/>
        <v>2.8066379071295713</v>
      </c>
      <c r="V8" s="328"/>
      <c r="W8" s="241">
        <v>0</v>
      </c>
      <c r="X8" s="394"/>
      <c r="Y8" s="298"/>
      <c r="Z8" s="523">
        <v>0</v>
      </c>
      <c r="AA8" s="524"/>
      <c r="AB8" s="241"/>
      <c r="AC8" s="499">
        <v>0</v>
      </c>
      <c r="AD8" s="525"/>
      <c r="AE8" s="526"/>
      <c r="AF8" s="499">
        <v>0</v>
      </c>
      <c r="AG8" s="525"/>
      <c r="AH8" s="526"/>
      <c r="AI8" s="328">
        <v>0</v>
      </c>
      <c r="AK8" s="554">
        <f t="shared" si="8"/>
        <v>0</v>
      </c>
    </row>
    <row r="9" spans="1:37" s="19" customFormat="1" ht="21" customHeight="1" x14ac:dyDescent="0.25">
      <c r="A9" s="269" t="s">
        <v>88</v>
      </c>
      <c r="B9" s="241">
        <v>3888000</v>
      </c>
      <c r="C9" s="394">
        <f t="shared" si="1"/>
        <v>37.403878381982103</v>
      </c>
      <c r="D9" s="298"/>
      <c r="E9" s="523">
        <v>199612</v>
      </c>
      <c r="F9" s="524">
        <f t="shared" si="2"/>
        <v>3.7487813906354086</v>
      </c>
      <c r="G9" s="241"/>
      <c r="H9" s="499">
        <v>0</v>
      </c>
      <c r="I9" s="525">
        <f t="shared" si="3"/>
        <v>0</v>
      </c>
      <c r="J9" s="328"/>
      <c r="K9" s="499">
        <v>0</v>
      </c>
      <c r="L9" s="525">
        <f t="shared" si="4"/>
        <v>0</v>
      </c>
      <c r="M9" s="328"/>
      <c r="N9" s="328">
        <v>0</v>
      </c>
      <c r="O9" s="502">
        <f t="shared" si="5"/>
        <v>0</v>
      </c>
      <c r="P9" s="268"/>
      <c r="Q9" s="268">
        <v>0</v>
      </c>
      <c r="R9" s="529">
        <f t="shared" si="6"/>
        <v>0</v>
      </c>
      <c r="S9" s="268"/>
      <c r="T9" s="527">
        <f t="shared" si="0"/>
        <v>4087612</v>
      </c>
      <c r="U9" s="528">
        <f t="shared" si="7"/>
        <v>25.878594572829712</v>
      </c>
      <c r="V9" s="328"/>
      <c r="W9" s="241">
        <v>3888000</v>
      </c>
      <c r="X9" s="394"/>
      <c r="Y9" s="298"/>
      <c r="Z9" s="523">
        <v>199612</v>
      </c>
      <c r="AA9" s="524"/>
      <c r="AB9" s="241"/>
      <c r="AC9" s="499">
        <v>0</v>
      </c>
      <c r="AD9" s="525"/>
      <c r="AE9" s="328"/>
      <c r="AF9" s="499">
        <v>0</v>
      </c>
      <c r="AG9" s="525"/>
      <c r="AH9" s="328"/>
      <c r="AI9" s="328">
        <v>0</v>
      </c>
      <c r="AK9" s="554">
        <f t="shared" si="8"/>
        <v>4087612</v>
      </c>
    </row>
    <row r="10" spans="1:37" s="19" customFormat="1" ht="21" customHeight="1" x14ac:dyDescent="0.25">
      <c r="A10" s="269" t="s">
        <v>79</v>
      </c>
      <c r="B10" s="241">
        <v>430600</v>
      </c>
      <c r="C10" s="394">
        <f t="shared" si="1"/>
        <v>4.1425180121608784</v>
      </c>
      <c r="E10" s="523">
        <v>161902</v>
      </c>
      <c r="F10" s="524">
        <f t="shared" si="2"/>
        <v>3.04057473852601</v>
      </c>
      <c r="H10" s="499">
        <v>0</v>
      </c>
      <c r="I10" s="525">
        <f t="shared" si="3"/>
        <v>0</v>
      </c>
      <c r="K10" s="499">
        <v>0</v>
      </c>
      <c r="L10" s="525">
        <f t="shared" si="4"/>
        <v>0</v>
      </c>
      <c r="M10" s="328"/>
      <c r="N10" s="328">
        <v>0</v>
      </c>
      <c r="O10" s="502">
        <f t="shared" si="5"/>
        <v>0</v>
      </c>
      <c r="Q10" s="268">
        <v>0</v>
      </c>
      <c r="R10" s="529">
        <f t="shared" si="6"/>
        <v>0</v>
      </c>
      <c r="T10" s="527">
        <f t="shared" si="0"/>
        <v>592502</v>
      </c>
      <c r="U10" s="528">
        <f t="shared" si="7"/>
        <v>3.7511190009205246</v>
      </c>
      <c r="V10" s="328"/>
      <c r="W10" s="241">
        <v>524000</v>
      </c>
      <c r="X10" s="394"/>
      <c r="Z10" s="523">
        <v>282894</v>
      </c>
      <c r="AA10" s="524"/>
      <c r="AC10" s="499">
        <v>0</v>
      </c>
      <c r="AD10" s="525"/>
      <c r="AF10" s="499">
        <v>0</v>
      </c>
      <c r="AG10" s="525"/>
      <c r="AH10" s="328"/>
      <c r="AI10" s="328">
        <v>174</v>
      </c>
      <c r="AK10" s="554">
        <f t="shared" si="8"/>
        <v>807068</v>
      </c>
    </row>
    <row r="11" spans="1:37" s="19" customFormat="1" ht="21" customHeight="1" x14ac:dyDescent="0.25">
      <c r="A11" s="269" t="s">
        <v>81</v>
      </c>
      <c r="B11" s="241">
        <v>380290</v>
      </c>
      <c r="C11" s="394">
        <f t="shared" si="1"/>
        <v>3.6585187525421747</v>
      </c>
      <c r="D11" s="298"/>
      <c r="E11" s="523">
        <v>460550</v>
      </c>
      <c r="F11" s="524">
        <f t="shared" si="2"/>
        <v>8.649285962052069</v>
      </c>
      <c r="G11" s="241"/>
      <c r="H11" s="499">
        <v>214</v>
      </c>
      <c r="I11" s="525">
        <f t="shared" si="3"/>
        <v>1.4705882352941175</v>
      </c>
      <c r="J11" s="328"/>
      <c r="K11" s="523">
        <v>204</v>
      </c>
      <c r="L11" s="525">
        <f t="shared" si="4"/>
        <v>0.25069124423963129</v>
      </c>
      <c r="M11" s="328"/>
      <c r="N11" s="328">
        <v>31</v>
      </c>
      <c r="O11" s="502">
        <f t="shared" si="5"/>
        <v>2.6816608996539792</v>
      </c>
      <c r="P11" s="268"/>
      <c r="Q11" s="268">
        <v>0</v>
      </c>
      <c r="R11" s="529">
        <f t="shared" si="6"/>
        <v>0</v>
      </c>
      <c r="S11" s="268"/>
      <c r="T11" s="527">
        <f t="shared" si="0"/>
        <v>841289</v>
      </c>
      <c r="U11" s="528">
        <f t="shared" si="7"/>
        <v>5.3261848114697123</v>
      </c>
      <c r="V11" s="328"/>
      <c r="W11" s="241">
        <v>263976</v>
      </c>
      <c r="X11" s="394"/>
      <c r="Y11" s="298"/>
      <c r="Z11" s="523">
        <v>385835</v>
      </c>
      <c r="AA11" s="524"/>
      <c r="AB11" s="241"/>
      <c r="AC11" s="499">
        <v>153</v>
      </c>
      <c r="AD11" s="525"/>
      <c r="AE11" s="328"/>
      <c r="AF11" s="499">
        <v>0</v>
      </c>
      <c r="AG11" s="525"/>
      <c r="AH11" s="328"/>
      <c r="AI11" s="328">
        <v>1417</v>
      </c>
      <c r="AK11" s="554">
        <f t="shared" si="8"/>
        <v>651381</v>
      </c>
    </row>
    <row r="12" spans="1:37" s="19" customFormat="1" ht="21" customHeight="1" x14ac:dyDescent="0.25">
      <c r="A12" s="269" t="s">
        <v>73</v>
      </c>
      <c r="B12" s="241">
        <v>478720</v>
      </c>
      <c r="C12" s="394">
        <f t="shared" si="1"/>
        <v>4.6054487291724469</v>
      </c>
      <c r="D12" s="298"/>
      <c r="E12" s="523">
        <v>92044</v>
      </c>
      <c r="F12" s="524">
        <f t="shared" si="2"/>
        <v>1.7286176899166661</v>
      </c>
      <c r="G12" s="241"/>
      <c r="H12" s="499">
        <v>316</v>
      </c>
      <c r="I12" s="525">
        <f t="shared" si="3"/>
        <v>2.1715228147333701</v>
      </c>
      <c r="J12" s="328"/>
      <c r="K12" s="499">
        <v>0</v>
      </c>
      <c r="L12" s="525">
        <f t="shared" si="4"/>
        <v>0</v>
      </c>
      <c r="M12" s="328"/>
      <c r="N12" s="328">
        <v>0</v>
      </c>
      <c r="O12" s="502">
        <f t="shared" si="5"/>
        <v>0</v>
      </c>
      <c r="P12" s="268"/>
      <c r="Q12" s="268">
        <v>0</v>
      </c>
      <c r="R12" s="529">
        <f t="shared" si="6"/>
        <v>0</v>
      </c>
      <c r="S12" s="268"/>
      <c r="T12" s="527">
        <f t="shared" si="0"/>
        <v>571080</v>
      </c>
      <c r="U12" s="528">
        <f t="shared" si="7"/>
        <v>3.6154967224510517</v>
      </c>
      <c r="V12" s="526"/>
      <c r="W12" s="241">
        <v>478720</v>
      </c>
      <c r="X12" s="394"/>
      <c r="Y12" s="298"/>
      <c r="Z12" s="523">
        <v>92044</v>
      </c>
      <c r="AA12" s="524"/>
      <c r="AB12" s="241"/>
      <c r="AC12" s="499">
        <v>310</v>
      </c>
      <c r="AD12" s="525"/>
      <c r="AE12" s="328"/>
      <c r="AF12" s="499">
        <v>0</v>
      </c>
      <c r="AG12" s="525"/>
      <c r="AH12" s="328"/>
      <c r="AI12" s="328">
        <v>0</v>
      </c>
      <c r="AK12" s="554">
        <f t="shared" si="8"/>
        <v>571074</v>
      </c>
    </row>
    <row r="13" spans="1:37" s="19" customFormat="1" ht="21" customHeight="1" x14ac:dyDescent="0.25">
      <c r="A13" s="269" t="s">
        <v>80</v>
      </c>
      <c r="B13" s="241">
        <v>412166</v>
      </c>
      <c r="C13" s="394">
        <f t="shared" si="1"/>
        <v>3.9651766813755236</v>
      </c>
      <c r="D13" s="298"/>
      <c r="E13" s="523">
        <v>338045</v>
      </c>
      <c r="F13" s="524">
        <f t="shared" si="2"/>
        <v>6.3486003105892763</v>
      </c>
      <c r="G13" s="241"/>
      <c r="H13" s="499">
        <v>700</v>
      </c>
      <c r="I13" s="525">
        <f t="shared" si="3"/>
        <v>4.8103353490929086</v>
      </c>
      <c r="J13" s="328"/>
      <c r="K13" s="499">
        <v>425</v>
      </c>
      <c r="L13" s="525">
        <f t="shared" si="4"/>
        <v>0.52227342549923195</v>
      </c>
      <c r="M13" s="328"/>
      <c r="N13" s="328">
        <v>425</v>
      </c>
      <c r="O13" s="502">
        <f t="shared" si="5"/>
        <v>36.764705882352942</v>
      </c>
      <c r="P13" s="268"/>
      <c r="Q13" s="268">
        <v>120</v>
      </c>
      <c r="R13" s="529">
        <f t="shared" si="6"/>
        <v>0.56861258529188785</v>
      </c>
      <c r="S13" s="268"/>
      <c r="T13" s="527">
        <f t="shared" si="0"/>
        <v>751641</v>
      </c>
      <c r="U13" s="528">
        <f t="shared" si="7"/>
        <v>4.7586250121871387</v>
      </c>
      <c r="V13" s="328"/>
      <c r="W13" s="241">
        <v>339900</v>
      </c>
      <c r="X13" s="394"/>
      <c r="Y13" s="298"/>
      <c r="Z13" s="523">
        <v>334529</v>
      </c>
      <c r="AA13" s="524"/>
      <c r="AB13" s="241"/>
      <c r="AC13" s="499">
        <v>403</v>
      </c>
      <c r="AD13" s="525"/>
      <c r="AE13" s="328"/>
      <c r="AF13" s="499">
        <v>0</v>
      </c>
      <c r="AG13" s="525"/>
      <c r="AH13" s="328"/>
      <c r="AI13" s="328">
        <v>222</v>
      </c>
      <c r="AK13" s="554">
        <f t="shared" si="8"/>
        <v>675054</v>
      </c>
    </row>
    <row r="14" spans="1:37" s="19" customFormat="1" ht="21" customHeight="1" x14ac:dyDescent="0.25">
      <c r="A14" s="269" t="s">
        <v>78</v>
      </c>
      <c r="B14" s="241">
        <v>265225</v>
      </c>
      <c r="C14" s="394">
        <f t="shared" si="1"/>
        <v>2.5515544351494865</v>
      </c>
      <c r="D14" s="298"/>
      <c r="E14" s="523">
        <v>220151</v>
      </c>
      <c r="F14" s="524">
        <f t="shared" si="2"/>
        <v>4.1345108106214852</v>
      </c>
      <c r="G14" s="241"/>
      <c r="H14" s="499">
        <v>45</v>
      </c>
      <c r="I14" s="525">
        <f t="shared" si="3"/>
        <v>0.30923584387025838</v>
      </c>
      <c r="J14" s="328"/>
      <c r="K14" s="523">
        <v>5100</v>
      </c>
      <c r="L14" s="525">
        <f t="shared" si="4"/>
        <v>6.2672811059907838</v>
      </c>
      <c r="M14" s="328"/>
      <c r="N14" s="328">
        <v>30</v>
      </c>
      <c r="O14" s="502">
        <f t="shared" si="5"/>
        <v>2.5951557093425603</v>
      </c>
      <c r="P14" s="268"/>
      <c r="Q14" s="268">
        <v>0</v>
      </c>
      <c r="R14" s="529">
        <f t="shared" si="6"/>
        <v>0</v>
      </c>
      <c r="S14" s="268"/>
      <c r="T14" s="527">
        <f t="shared" si="0"/>
        <v>490551</v>
      </c>
      <c r="U14" s="528">
        <f t="shared" si="7"/>
        <v>3.10566914039204</v>
      </c>
      <c r="V14" s="328"/>
      <c r="W14" s="241">
        <v>239720</v>
      </c>
      <c r="X14" s="394"/>
      <c r="Y14" s="298"/>
      <c r="Z14" s="523">
        <v>257820</v>
      </c>
      <c r="AA14" s="524"/>
      <c r="AB14" s="241"/>
      <c r="AC14" s="499">
        <v>80</v>
      </c>
      <c r="AD14" s="525"/>
      <c r="AE14" s="328"/>
      <c r="AF14" s="499">
        <v>3000</v>
      </c>
      <c r="AG14" s="525"/>
      <c r="AH14" s="328"/>
      <c r="AI14" s="328">
        <v>102</v>
      </c>
      <c r="AK14" s="554">
        <f t="shared" si="8"/>
        <v>500722</v>
      </c>
    </row>
    <row r="15" spans="1:37" s="19" customFormat="1" ht="21" customHeight="1" x14ac:dyDescent="0.25">
      <c r="A15" s="269" t="s">
        <v>82</v>
      </c>
      <c r="B15" s="241">
        <v>380000</v>
      </c>
      <c r="C15" s="394">
        <f t="shared" si="1"/>
        <v>3.6557288542060702</v>
      </c>
      <c r="D15" s="298"/>
      <c r="E15" s="523">
        <v>550500</v>
      </c>
      <c r="F15" s="524">
        <f t="shared" si="2"/>
        <v>10.33857761830347</v>
      </c>
      <c r="G15" s="241"/>
      <c r="H15" s="523">
        <v>500</v>
      </c>
      <c r="I15" s="525">
        <f t="shared" si="3"/>
        <v>3.4359538207806488</v>
      </c>
      <c r="J15" s="328"/>
      <c r="K15" s="523">
        <v>200</v>
      </c>
      <c r="L15" s="525">
        <f t="shared" si="4"/>
        <v>0.24577572964669739</v>
      </c>
      <c r="M15" s="328"/>
      <c r="N15" s="328">
        <v>120</v>
      </c>
      <c r="O15" s="502">
        <f t="shared" si="5"/>
        <v>10.380622837370241</v>
      </c>
      <c r="P15" s="268"/>
      <c r="Q15" s="268">
        <v>0</v>
      </c>
      <c r="R15" s="529">
        <f t="shared" si="6"/>
        <v>0</v>
      </c>
      <c r="S15" s="268"/>
      <c r="T15" s="527">
        <f t="shared" si="0"/>
        <v>931320</v>
      </c>
      <c r="U15" s="528">
        <f t="shared" si="7"/>
        <v>5.8961693765376371</v>
      </c>
      <c r="V15" s="328"/>
      <c r="W15" s="241">
        <v>437000</v>
      </c>
      <c r="X15" s="394"/>
      <c r="Y15" s="298"/>
      <c r="Z15" s="523">
        <v>327000</v>
      </c>
      <c r="AA15" s="524"/>
      <c r="AB15" s="241"/>
      <c r="AC15" s="499">
        <v>1400</v>
      </c>
      <c r="AD15" s="525"/>
      <c r="AE15" s="328"/>
      <c r="AF15" s="499">
        <v>700</v>
      </c>
      <c r="AG15" s="525"/>
      <c r="AH15" s="328"/>
      <c r="AI15" s="328">
        <v>10</v>
      </c>
      <c r="AK15" s="554">
        <f t="shared" si="8"/>
        <v>766110</v>
      </c>
    </row>
    <row r="16" spans="1:37" s="19" customFormat="1" ht="21" customHeight="1" x14ac:dyDescent="0.25">
      <c r="A16" s="269" t="s">
        <v>83</v>
      </c>
      <c r="B16" s="241">
        <v>265800</v>
      </c>
      <c r="C16" s="394">
        <f t="shared" si="1"/>
        <v>2.5570861301262457</v>
      </c>
      <c r="D16" s="298"/>
      <c r="E16" s="523">
        <v>130500</v>
      </c>
      <c r="F16" s="524">
        <f t="shared" si="2"/>
        <v>2.4508344762735748</v>
      </c>
      <c r="G16" s="241"/>
      <c r="H16" s="523">
        <v>125</v>
      </c>
      <c r="I16" s="525">
        <f t="shared" si="3"/>
        <v>0.8589884551951622</v>
      </c>
      <c r="J16" s="328"/>
      <c r="K16" s="523">
        <v>100</v>
      </c>
      <c r="L16" s="525">
        <f t="shared" si="4"/>
        <v>0.12288786482334869</v>
      </c>
      <c r="M16" s="328"/>
      <c r="N16" s="328">
        <v>400</v>
      </c>
      <c r="O16" s="502">
        <f t="shared" si="5"/>
        <v>34.602076124567475</v>
      </c>
      <c r="P16" s="268"/>
      <c r="Q16" s="268">
        <v>0</v>
      </c>
      <c r="R16" s="529">
        <f t="shared" si="6"/>
        <v>0</v>
      </c>
      <c r="S16" s="268"/>
      <c r="T16" s="527">
        <f>B16+E16+H16+K16+N16-Q16</f>
        <v>396925</v>
      </c>
      <c r="U16" s="528">
        <f t="shared" si="7"/>
        <v>2.5129246980438533</v>
      </c>
      <c r="V16" s="328"/>
      <c r="W16" s="241">
        <v>298000</v>
      </c>
      <c r="X16" s="394"/>
      <c r="Y16" s="298"/>
      <c r="Z16" s="523">
        <v>141089</v>
      </c>
      <c r="AA16" s="524"/>
      <c r="AB16" s="241"/>
      <c r="AC16" s="499">
        <v>120</v>
      </c>
      <c r="AD16" s="525"/>
      <c r="AE16" s="328"/>
      <c r="AF16" s="499">
        <v>100</v>
      </c>
      <c r="AG16" s="525"/>
      <c r="AH16" s="328"/>
      <c r="AI16" s="328">
        <v>500</v>
      </c>
      <c r="AK16" s="554">
        <f t="shared" si="8"/>
        <v>439809</v>
      </c>
    </row>
    <row r="17" spans="1:37" s="19" customFormat="1" ht="21" customHeight="1" x14ac:dyDescent="0.25">
      <c r="A17" s="269" t="s">
        <v>84</v>
      </c>
      <c r="B17" s="241">
        <f>'9'!F17</f>
        <v>145500</v>
      </c>
      <c r="C17" s="394">
        <f t="shared" si="1"/>
        <v>1.3997593375973241</v>
      </c>
      <c r="D17" s="298"/>
      <c r="E17" s="523">
        <f>'10'!F17</f>
        <v>164887</v>
      </c>
      <c r="F17" s="524">
        <f t="shared" si="2"/>
        <v>3.0966340558568652</v>
      </c>
      <c r="G17" s="241"/>
      <c r="H17" s="523">
        <f>'11'!F17</f>
        <v>678</v>
      </c>
      <c r="I17" s="525">
        <f t="shared" si="3"/>
        <v>4.6591533809785597</v>
      </c>
      <c r="J17" s="328"/>
      <c r="K17" s="523">
        <f>'12'!I17</f>
        <v>1206</v>
      </c>
      <c r="L17" s="525">
        <f t="shared" si="4"/>
        <v>1.4820276497695852</v>
      </c>
      <c r="M17" s="328"/>
      <c r="N17" s="328">
        <f>'13'!F17</f>
        <v>0</v>
      </c>
      <c r="O17" s="502">
        <f t="shared" si="5"/>
        <v>0</v>
      </c>
      <c r="P17" s="268"/>
      <c r="Q17" s="268">
        <f>'11'!G17</f>
        <v>1000</v>
      </c>
      <c r="R17" s="529">
        <f t="shared" si="6"/>
        <v>4.7384382107657315</v>
      </c>
      <c r="S17" s="268"/>
      <c r="T17" s="527">
        <f>B17+E17+H17+K17+N17-Q17</f>
        <v>311271</v>
      </c>
      <c r="U17" s="528">
        <f t="shared" si="7"/>
        <v>1.9706508375254981</v>
      </c>
      <c r="V17" s="328"/>
      <c r="W17" s="241">
        <v>144200</v>
      </c>
      <c r="X17" s="394"/>
      <c r="Y17" s="298"/>
      <c r="Z17" s="523">
        <v>93310</v>
      </c>
      <c r="AA17" s="524"/>
      <c r="AB17" s="241"/>
      <c r="AC17" s="499">
        <v>1430</v>
      </c>
      <c r="AD17" s="525"/>
      <c r="AE17" s="328"/>
      <c r="AF17" s="499">
        <v>1300</v>
      </c>
      <c r="AG17" s="525"/>
      <c r="AH17" s="328"/>
      <c r="AI17" s="328">
        <v>0</v>
      </c>
      <c r="AK17" s="554">
        <f t="shared" si="8"/>
        <v>240240</v>
      </c>
    </row>
    <row r="18" spans="1:37" s="19" customFormat="1" ht="21" customHeight="1" x14ac:dyDescent="0.25">
      <c r="A18" s="269" t="s">
        <v>85</v>
      </c>
      <c r="B18" s="241">
        <v>327640</v>
      </c>
      <c r="C18" s="394">
        <f t="shared" si="1"/>
        <v>3.1520078994528333</v>
      </c>
      <c r="D18" s="298"/>
      <c r="E18" s="523">
        <v>329596</v>
      </c>
      <c r="F18" s="524">
        <f t="shared" si="2"/>
        <v>6.1899252110487755</v>
      </c>
      <c r="G18" s="241"/>
      <c r="H18" s="523">
        <v>1125</v>
      </c>
      <c r="I18" s="525">
        <f t="shared" si="3"/>
        <v>7.7308960967564593</v>
      </c>
      <c r="J18" s="328"/>
      <c r="K18" s="499">
        <v>0</v>
      </c>
      <c r="L18" s="525">
        <f t="shared" si="4"/>
        <v>0</v>
      </c>
      <c r="M18" s="328"/>
      <c r="N18" s="328">
        <v>124</v>
      </c>
      <c r="O18" s="502">
        <f t="shared" si="5"/>
        <v>10.726643598615917</v>
      </c>
      <c r="P18" s="268"/>
      <c r="Q18" s="268">
        <v>1500</v>
      </c>
      <c r="R18" s="529">
        <f t="shared" si="6"/>
        <v>7.1076573161485967</v>
      </c>
      <c r="S18" s="268"/>
      <c r="T18" s="527">
        <f>B18+E18+H18+K18+N18-Q18</f>
        <v>656985</v>
      </c>
      <c r="U18" s="528">
        <f t="shared" si="7"/>
        <v>4.1593596592412698</v>
      </c>
      <c r="V18" s="328"/>
      <c r="W18" s="241">
        <v>282100</v>
      </c>
      <c r="X18" s="394"/>
      <c r="Y18" s="298"/>
      <c r="Z18" s="523">
        <v>337808</v>
      </c>
      <c r="AA18" s="524"/>
      <c r="AB18" s="241"/>
      <c r="AC18" s="499">
        <v>2022</v>
      </c>
      <c r="AD18" s="525"/>
      <c r="AE18" s="328"/>
      <c r="AF18" s="499">
        <v>0</v>
      </c>
      <c r="AG18" s="525"/>
      <c r="AH18" s="328"/>
      <c r="AI18" s="328">
        <v>108</v>
      </c>
      <c r="AK18" s="554">
        <f t="shared" si="8"/>
        <v>622038</v>
      </c>
    </row>
    <row r="19" spans="1:37" s="19" customFormat="1" ht="21" customHeight="1" x14ac:dyDescent="0.25">
      <c r="A19" s="269" t="s">
        <v>86</v>
      </c>
      <c r="B19" s="241">
        <f>'9'!F19</f>
        <v>84000</v>
      </c>
      <c r="C19" s="394">
        <f t="shared" si="1"/>
        <v>0.80810848356134179</v>
      </c>
      <c r="D19" s="298"/>
      <c r="E19" s="523">
        <f>'10'!F19</f>
        <v>703895</v>
      </c>
      <c r="F19" s="524">
        <f t="shared" si="2"/>
        <v>13.219387997521745</v>
      </c>
      <c r="G19" s="241"/>
      <c r="H19" s="523">
        <f>'11'!F19</f>
        <v>4416</v>
      </c>
      <c r="I19" s="525">
        <f t="shared" si="3"/>
        <v>30.34634414513469</v>
      </c>
      <c r="J19" s="328"/>
      <c r="K19" s="499">
        <f>'12'!I19</f>
        <v>0</v>
      </c>
      <c r="L19" s="525">
        <f t="shared" si="4"/>
        <v>0</v>
      </c>
      <c r="M19" s="328"/>
      <c r="N19" s="328">
        <f>'13'!F19</f>
        <v>0</v>
      </c>
      <c r="O19" s="502">
        <f t="shared" si="5"/>
        <v>0</v>
      </c>
      <c r="P19" s="268"/>
      <c r="Q19" s="268">
        <f>'11'!G19</f>
        <v>7950</v>
      </c>
      <c r="R19" s="529">
        <f t="shared" si="6"/>
        <v>37.670583775587566</v>
      </c>
      <c r="S19" s="268"/>
      <c r="T19" s="527">
        <f>B19+E19+H19+K19+N19-Q19</f>
        <v>784361</v>
      </c>
      <c r="U19" s="528">
        <f t="shared" si="7"/>
        <v>4.9657747158339109</v>
      </c>
      <c r="V19" s="328"/>
      <c r="W19" s="241">
        <v>117920</v>
      </c>
      <c r="X19" s="394"/>
      <c r="Y19" s="298"/>
      <c r="Z19" s="523">
        <v>312960</v>
      </c>
      <c r="AA19" s="524"/>
      <c r="AB19" s="241"/>
      <c r="AC19" s="499">
        <v>5900</v>
      </c>
      <c r="AD19" s="525"/>
      <c r="AE19" s="328"/>
      <c r="AF19" s="499">
        <v>0</v>
      </c>
      <c r="AG19" s="525"/>
      <c r="AH19" s="328"/>
      <c r="AI19" s="328">
        <v>0</v>
      </c>
      <c r="AK19" s="554">
        <f t="shared" si="8"/>
        <v>436780</v>
      </c>
    </row>
    <row r="20" spans="1:37" s="19" customFormat="1" ht="21" customHeight="1" thickBot="1" x14ac:dyDescent="0.3">
      <c r="A20" s="269" t="s">
        <v>87</v>
      </c>
      <c r="B20" s="241">
        <v>308378</v>
      </c>
      <c r="C20" s="394">
        <f t="shared" si="1"/>
        <v>2.9667009279009458</v>
      </c>
      <c r="D20" s="379"/>
      <c r="E20" s="523">
        <v>1258945</v>
      </c>
      <c r="F20" s="524">
        <f t="shared" si="2"/>
        <v>23.643416166530539</v>
      </c>
      <c r="G20" s="237"/>
      <c r="H20" s="523">
        <v>5267</v>
      </c>
      <c r="I20" s="525">
        <f t="shared" si="3"/>
        <v>36.194337548103356</v>
      </c>
      <c r="J20" s="364"/>
      <c r="K20" s="499">
        <v>0</v>
      </c>
      <c r="L20" s="525">
        <f t="shared" si="4"/>
        <v>0</v>
      </c>
      <c r="M20" s="364"/>
      <c r="N20" s="328">
        <v>0</v>
      </c>
      <c r="O20" s="502">
        <f t="shared" si="5"/>
        <v>0</v>
      </c>
      <c r="P20" s="590"/>
      <c r="Q20" s="268">
        <v>10534</v>
      </c>
      <c r="R20" s="529">
        <f t="shared" si="6"/>
        <v>49.91470811220622</v>
      </c>
      <c r="S20" s="590"/>
      <c r="T20" s="527">
        <f>B20+E20+H20+K20+N20-Q20</f>
        <v>1562056</v>
      </c>
      <c r="U20" s="528">
        <f t="shared" si="7"/>
        <v>9.8893471112366065</v>
      </c>
      <c r="V20" s="526"/>
      <c r="W20" s="241">
        <v>239437</v>
      </c>
      <c r="X20" s="591"/>
      <c r="Y20" s="379"/>
      <c r="Z20" s="523">
        <v>1302656</v>
      </c>
      <c r="AA20" s="524"/>
      <c r="AB20" s="237"/>
      <c r="AC20" s="499">
        <v>5267</v>
      </c>
      <c r="AD20" s="525"/>
      <c r="AE20" s="364"/>
      <c r="AF20" s="499">
        <v>0</v>
      </c>
      <c r="AG20" s="525"/>
      <c r="AH20" s="364"/>
      <c r="AI20" s="328">
        <v>0</v>
      </c>
      <c r="AK20" s="554">
        <f t="shared" si="8"/>
        <v>1547360</v>
      </c>
    </row>
    <row r="21" spans="1:37" ht="21" customHeight="1" thickTop="1" thickBot="1" x14ac:dyDescent="0.3">
      <c r="A21" s="251" t="s">
        <v>309</v>
      </c>
      <c r="B21" s="254">
        <f>SUM(B5:B20)</f>
        <v>10395244</v>
      </c>
      <c r="C21" s="363">
        <f t="shared" si="1"/>
        <v>100.00577220345401</v>
      </c>
      <c r="D21" s="299"/>
      <c r="E21" s="273">
        <f>SUM(E5:E20)</f>
        <v>5324717</v>
      </c>
      <c r="F21" s="363">
        <f t="shared" si="2"/>
        <v>100</v>
      </c>
      <c r="G21" s="254"/>
      <c r="H21" s="273">
        <f>SUM(H5:H20)</f>
        <v>14552</v>
      </c>
      <c r="I21" s="363">
        <f t="shared" si="3"/>
        <v>100</v>
      </c>
      <c r="J21" s="254"/>
      <c r="K21" s="273">
        <f>SUM(K5:K20)</f>
        <v>81375</v>
      </c>
      <c r="L21" s="363">
        <f t="shared" si="4"/>
        <v>100</v>
      </c>
      <c r="M21" s="254"/>
      <c r="N21" s="254">
        <f>SUM(N5:N20)</f>
        <v>1156</v>
      </c>
      <c r="O21" s="363">
        <f t="shared" si="5"/>
        <v>100</v>
      </c>
      <c r="P21" s="270"/>
      <c r="Q21" s="270">
        <f>SUM(Q5:Q20)</f>
        <v>21104</v>
      </c>
      <c r="R21" s="363">
        <f t="shared" si="6"/>
        <v>100</v>
      </c>
      <c r="S21" s="363"/>
      <c r="T21" s="254">
        <f>SUM(T5:T20)</f>
        <v>15795940</v>
      </c>
      <c r="U21" s="363">
        <f t="shared" si="7"/>
        <v>100.00379858869768</v>
      </c>
      <c r="V21" s="253"/>
    </row>
    <row r="22" spans="1:37" ht="30" customHeight="1" thickTop="1" x14ac:dyDescent="0.25">
      <c r="A22" s="843" t="s">
        <v>400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  <c r="L22" s="843"/>
      <c r="M22" s="843"/>
      <c r="N22" s="843"/>
      <c r="O22" s="843"/>
      <c r="P22" s="843"/>
      <c r="Q22" s="843"/>
      <c r="R22" s="843"/>
      <c r="S22" s="843"/>
      <c r="T22" s="843"/>
      <c r="U22" s="843"/>
    </row>
    <row r="23" spans="1:37" s="232" customFormat="1" ht="9" customHeight="1" x14ac:dyDescent="0.25">
      <c r="A23" s="845"/>
      <c r="B23" s="845"/>
      <c r="C23" s="845"/>
      <c r="D23" s="845"/>
      <c r="E23" s="845"/>
      <c r="F23" s="396"/>
      <c r="G23" s="396"/>
      <c r="H23"/>
      <c r="I23"/>
      <c r="J23"/>
      <c r="K23"/>
      <c r="L23"/>
      <c r="M23"/>
      <c r="N23" s="243"/>
      <c r="O23" s="235"/>
      <c r="P23" s="234"/>
      <c r="Q23" s="234"/>
    </row>
    <row r="24" spans="1:37" s="232" customFormat="1" ht="16.5" customHeight="1" x14ac:dyDescent="0.2">
      <c r="A24" s="844" t="s">
        <v>322</v>
      </c>
      <c r="B24" s="844"/>
      <c r="C24" s="844"/>
      <c r="D24" s="844"/>
      <c r="E24" s="844"/>
      <c r="F24" s="844"/>
      <c r="G24" s="844"/>
      <c r="H24" s="844"/>
      <c r="I24" s="844"/>
      <c r="J24" s="844"/>
      <c r="K24" s="844"/>
      <c r="L24" s="844"/>
      <c r="M24" s="844"/>
      <c r="N24" s="844"/>
      <c r="O24" s="844"/>
      <c r="P24" s="844"/>
      <c r="Q24" s="844"/>
      <c r="R24" s="234"/>
    </row>
    <row r="25" spans="1:37" s="232" customFormat="1" ht="16.5" customHeight="1" thickBot="1" x14ac:dyDescent="0.25">
      <c r="A25" s="827" t="s">
        <v>323</v>
      </c>
      <c r="B25" s="827"/>
      <c r="C25" s="827"/>
      <c r="D25" s="827"/>
      <c r="E25" s="827"/>
      <c r="F25" s="827"/>
      <c r="G25" s="827"/>
      <c r="H25" s="827"/>
      <c r="I25" s="827"/>
      <c r="J25" s="827"/>
      <c r="K25" s="827"/>
      <c r="L25" s="827"/>
      <c r="M25" s="827"/>
      <c r="N25" s="827"/>
      <c r="O25" s="827"/>
      <c r="P25" s="827"/>
      <c r="Q25" s="827"/>
      <c r="R25" s="234"/>
    </row>
    <row r="26" spans="1:37" ht="16.5" customHeight="1" x14ac:dyDescent="0.25">
      <c r="A26" s="837" t="s">
        <v>253</v>
      </c>
      <c r="B26" s="837"/>
      <c r="C26" s="837"/>
      <c r="D26" s="837"/>
      <c r="E26" s="837"/>
      <c r="F26" s="312"/>
      <c r="G26" s="272"/>
      <c r="H26" s="272"/>
      <c r="I26" s="312"/>
      <c r="J26" s="837"/>
      <c r="K26" s="837"/>
      <c r="L26" s="837"/>
      <c r="M26" s="837"/>
      <c r="N26" s="837"/>
      <c r="O26" s="837"/>
      <c r="P26" s="837"/>
      <c r="Q26" s="360"/>
      <c r="R26" s="360"/>
      <c r="S26" s="360"/>
      <c r="T26" s="308"/>
      <c r="U26" s="322">
        <v>30</v>
      </c>
    </row>
  </sheetData>
  <mergeCells count="15">
    <mergeCell ref="A3:A4"/>
    <mergeCell ref="A26:E26"/>
    <mergeCell ref="A1:T1"/>
    <mergeCell ref="J26:P26"/>
    <mergeCell ref="B3:C3"/>
    <mergeCell ref="E3:F3"/>
    <mergeCell ref="H3:I3"/>
    <mergeCell ref="N3:O3"/>
    <mergeCell ref="T3:U3"/>
    <mergeCell ref="Q3:R3"/>
    <mergeCell ref="A22:U22"/>
    <mergeCell ref="A24:Q24"/>
    <mergeCell ref="A25:Q25"/>
    <mergeCell ref="A23:E23"/>
    <mergeCell ref="K3:L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5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1"/>
  <sheetViews>
    <sheetView rightToLeft="1" view="pageBreakPreview" zoomScale="80" zoomScaleSheetLayoutView="80" workbookViewId="0">
      <selection sqref="A1:G1"/>
    </sheetView>
  </sheetViews>
  <sheetFormatPr defaultColWidth="10.42578125" defaultRowHeight="14.25" x14ac:dyDescent="0.2"/>
  <cols>
    <col min="1" max="1" width="12.42578125" style="232" customWidth="1"/>
    <col min="2" max="2" width="20" style="232" customWidth="1"/>
    <col min="3" max="3" width="16.85546875" style="232" customWidth="1"/>
    <col min="4" max="4" width="22.5703125" style="232" customWidth="1"/>
    <col min="5" max="5" width="21.140625" style="232" customWidth="1"/>
    <col min="6" max="6" width="15.28515625" style="232" customWidth="1"/>
    <col min="7" max="7" width="17.42578125" style="232" customWidth="1"/>
    <col min="8" max="15" width="10.42578125" style="232"/>
    <col min="16" max="16" width="11.85546875" style="232" bestFit="1" customWidth="1"/>
    <col min="17" max="17" width="10.7109375" style="232" bestFit="1" customWidth="1"/>
    <col min="18" max="18" width="8.42578125" style="232" customWidth="1"/>
    <col min="19" max="19" width="12.140625" style="232" customWidth="1"/>
    <col min="20" max="16384" width="10.42578125" style="232"/>
  </cols>
  <sheetData>
    <row r="1" spans="1:20" ht="42" customHeight="1" x14ac:dyDescent="0.2">
      <c r="A1" s="847" t="s">
        <v>451</v>
      </c>
      <c r="B1" s="847"/>
      <c r="C1" s="847"/>
      <c r="D1" s="847"/>
      <c r="E1" s="847"/>
      <c r="F1" s="847"/>
      <c r="G1" s="847"/>
      <c r="H1" s="848"/>
      <c r="I1" s="848"/>
      <c r="J1" s="848"/>
      <c r="K1" s="848"/>
      <c r="L1" s="848"/>
      <c r="M1" s="848"/>
      <c r="N1" s="848"/>
      <c r="O1" s="848"/>
      <c r="P1" s="234"/>
      <c r="Q1" s="234"/>
      <c r="R1" s="234"/>
      <c r="S1" s="234"/>
      <c r="T1" s="234"/>
    </row>
    <row r="2" spans="1:20" ht="24" customHeight="1" thickBot="1" x14ac:dyDescent="0.25">
      <c r="A2" s="275" t="s">
        <v>420</v>
      </c>
      <c r="B2" s="276"/>
      <c r="C2" s="276"/>
      <c r="D2" s="276"/>
      <c r="E2" s="276"/>
      <c r="F2" s="276"/>
      <c r="G2" s="265"/>
      <c r="H2" s="849"/>
      <c r="I2" s="849"/>
      <c r="J2" s="849"/>
      <c r="K2" s="849"/>
      <c r="L2" s="849"/>
      <c r="M2" s="849"/>
      <c r="N2" s="849"/>
      <c r="O2" s="849"/>
      <c r="P2" s="234"/>
      <c r="Q2" s="234"/>
      <c r="R2" s="234"/>
      <c r="S2" s="234"/>
      <c r="T2" s="234"/>
    </row>
    <row r="3" spans="1:20" ht="59.25" customHeight="1" thickTop="1" x14ac:dyDescent="0.2">
      <c r="A3" s="380" t="s">
        <v>74</v>
      </c>
      <c r="B3" s="380" t="s">
        <v>467</v>
      </c>
      <c r="C3" s="380" t="s">
        <v>468</v>
      </c>
      <c r="D3" s="380" t="s">
        <v>263</v>
      </c>
      <c r="E3" s="380" t="s">
        <v>469</v>
      </c>
      <c r="F3" s="380" t="s">
        <v>470</v>
      </c>
      <c r="G3" s="380" t="s">
        <v>471</v>
      </c>
      <c r="H3" s="305"/>
      <c r="I3" s="304"/>
      <c r="J3" s="304"/>
      <c r="K3" s="846"/>
      <c r="L3" s="846"/>
      <c r="M3" s="846"/>
      <c r="N3" s="277"/>
      <c r="O3" s="304"/>
      <c r="P3" s="234"/>
      <c r="Q3" s="234"/>
      <c r="R3" s="234"/>
      <c r="S3" s="234"/>
      <c r="T3" s="234"/>
    </row>
    <row r="4" spans="1:20" s="285" customFormat="1" ht="20.25" customHeight="1" x14ac:dyDescent="0.2">
      <c r="A4" s="571" t="s">
        <v>75</v>
      </c>
      <c r="B4" s="435">
        <f>'15'!Q5</f>
        <v>2347725</v>
      </c>
      <c r="C4" s="435">
        <f>'16'!T5</f>
        <v>2038550</v>
      </c>
      <c r="D4" s="579">
        <v>15</v>
      </c>
      <c r="E4" s="435">
        <f t="shared" ref="E4:E14" si="0">C4*D4/100</f>
        <v>305782.5</v>
      </c>
      <c r="F4" s="435">
        <v>0</v>
      </c>
      <c r="G4" s="436">
        <v>1732767</v>
      </c>
      <c r="H4" s="530"/>
      <c r="I4" s="637"/>
      <c r="J4" s="435"/>
      <c r="K4" s="637"/>
      <c r="L4" s="637"/>
      <c r="M4" s="533">
        <f>H4-J4-K4</f>
        <v>0</v>
      </c>
      <c r="N4" s="637"/>
      <c r="O4" s="637"/>
      <c r="P4" s="437"/>
      <c r="Q4" s="437"/>
      <c r="R4" s="437"/>
      <c r="S4" s="437"/>
      <c r="T4" s="437"/>
    </row>
    <row r="5" spans="1:20" s="285" customFormat="1" ht="20.25" customHeight="1" x14ac:dyDescent="0.25">
      <c r="A5" s="571" t="s">
        <v>76</v>
      </c>
      <c r="B5" s="435">
        <f>'15'!Q6</f>
        <v>863120</v>
      </c>
      <c r="C5" s="435">
        <f>'16'!T6</f>
        <v>790558</v>
      </c>
      <c r="D5" s="579">
        <v>12</v>
      </c>
      <c r="E5" s="435">
        <f t="shared" si="0"/>
        <v>94866.96</v>
      </c>
      <c r="F5" s="435">
        <v>1296</v>
      </c>
      <c r="G5" s="561">
        <f t="shared" ref="G5:G14" si="1">C5-E5-F5</f>
        <v>694395.04</v>
      </c>
      <c r="H5" s="580"/>
      <c r="I5" s="581"/>
      <c r="J5" s="435"/>
      <c r="K5" s="437"/>
      <c r="L5" s="437"/>
      <c r="M5" s="437"/>
      <c r="N5" s="437"/>
      <c r="O5" s="437"/>
      <c r="P5" s="437"/>
      <c r="Q5" s="437"/>
      <c r="R5" s="437"/>
      <c r="S5" s="437"/>
      <c r="T5" s="437"/>
    </row>
    <row r="6" spans="1:20" s="285" customFormat="1" ht="20.25" customHeight="1" x14ac:dyDescent="0.2">
      <c r="A6" s="239" t="s">
        <v>77</v>
      </c>
      <c r="B6" s="435">
        <f>'15'!Q7</f>
        <v>564704</v>
      </c>
      <c r="C6" s="241">
        <f>'16'!T7</f>
        <v>545921</v>
      </c>
      <c r="D6" s="394">
        <v>5</v>
      </c>
      <c r="E6" s="435">
        <f t="shared" si="0"/>
        <v>27296.05</v>
      </c>
      <c r="F6" s="241">
        <v>44700</v>
      </c>
      <c r="G6" s="561">
        <f t="shared" si="1"/>
        <v>473924.95</v>
      </c>
      <c r="H6" s="531"/>
      <c r="I6" s="438"/>
      <c r="J6" s="435"/>
      <c r="K6" s="437"/>
      <c r="L6" s="437"/>
      <c r="M6" s="437"/>
      <c r="N6" s="437"/>
      <c r="O6" s="437"/>
      <c r="P6" s="437"/>
      <c r="Q6" s="437"/>
      <c r="R6" s="437"/>
      <c r="S6" s="437"/>
      <c r="T6" s="437"/>
    </row>
    <row r="7" spans="1:20" s="285" customFormat="1" ht="20.25" customHeight="1" x14ac:dyDescent="0.2">
      <c r="A7" s="239" t="s">
        <v>330</v>
      </c>
      <c r="B7" s="435">
        <f>'15'!Q8</f>
        <v>531962</v>
      </c>
      <c r="C7" s="241">
        <f>'16'!T8</f>
        <v>443318</v>
      </c>
      <c r="D7" s="394">
        <v>30</v>
      </c>
      <c r="E7" s="435">
        <f t="shared" si="0"/>
        <v>132995.4</v>
      </c>
      <c r="F7" s="241">
        <v>0</v>
      </c>
      <c r="G7" s="561">
        <f t="shared" si="1"/>
        <v>310322.59999999998</v>
      </c>
      <c r="H7" s="531"/>
      <c r="I7" s="438"/>
      <c r="J7" s="435"/>
      <c r="K7" s="437"/>
      <c r="L7" s="437"/>
      <c r="M7" s="437"/>
      <c r="N7" s="437"/>
      <c r="O7" s="437"/>
      <c r="P7" s="437"/>
      <c r="Q7" s="437"/>
      <c r="R7" s="437"/>
      <c r="S7" s="437"/>
      <c r="T7" s="437"/>
    </row>
    <row r="8" spans="1:20" s="285" customFormat="1" ht="20.25" customHeight="1" x14ac:dyDescent="0.2">
      <c r="A8" s="239" t="s">
        <v>88</v>
      </c>
      <c r="B8" s="435">
        <f>'15'!Q9</f>
        <v>4250000</v>
      </c>
      <c r="C8" s="241">
        <f>'16'!T9</f>
        <v>4087612</v>
      </c>
      <c r="D8" s="394">
        <v>25</v>
      </c>
      <c r="E8" s="435">
        <f t="shared" si="0"/>
        <v>1021903</v>
      </c>
      <c r="F8" s="241">
        <v>0</v>
      </c>
      <c r="G8" s="561">
        <f t="shared" si="1"/>
        <v>3065709</v>
      </c>
      <c r="H8" s="532"/>
      <c r="I8" s="437"/>
      <c r="J8" s="435"/>
      <c r="K8" s="437"/>
    </row>
    <row r="9" spans="1:20" s="285" customFormat="1" ht="20.25" customHeight="1" x14ac:dyDescent="0.2">
      <c r="A9" s="239" t="s">
        <v>79</v>
      </c>
      <c r="B9" s="435">
        <f>'15'!Q10</f>
        <v>662517</v>
      </c>
      <c r="C9" s="241">
        <f>'16'!T10</f>
        <v>592502</v>
      </c>
      <c r="D9" s="394">
        <v>15</v>
      </c>
      <c r="E9" s="435">
        <f t="shared" si="0"/>
        <v>88875.3</v>
      </c>
      <c r="F9" s="241">
        <v>0</v>
      </c>
      <c r="G9" s="436">
        <f t="shared" si="1"/>
        <v>503626.7</v>
      </c>
      <c r="H9" s="532"/>
      <c r="I9" s="437"/>
      <c r="J9" s="435"/>
      <c r="K9" s="437"/>
    </row>
    <row r="10" spans="1:20" s="285" customFormat="1" ht="20.25" customHeight="1" x14ac:dyDescent="0.2">
      <c r="A10" s="239" t="s">
        <v>81</v>
      </c>
      <c r="B10" s="435">
        <f>'15'!Q11</f>
        <v>1082338</v>
      </c>
      <c r="C10" s="241">
        <f>'16'!T11</f>
        <v>841289</v>
      </c>
      <c r="D10" s="394">
        <v>15</v>
      </c>
      <c r="E10" s="435">
        <f t="shared" si="0"/>
        <v>126193.35</v>
      </c>
      <c r="F10" s="241">
        <v>0</v>
      </c>
      <c r="G10" s="561">
        <f t="shared" si="1"/>
        <v>715095.65</v>
      </c>
      <c r="H10" s="532"/>
      <c r="I10" s="437"/>
      <c r="J10" s="435"/>
      <c r="K10" s="437"/>
    </row>
    <row r="11" spans="1:20" s="285" customFormat="1" ht="20.25" customHeight="1" x14ac:dyDescent="0.2">
      <c r="A11" s="239" t="s">
        <v>73</v>
      </c>
      <c r="B11" s="435">
        <f>'15'!Q12</f>
        <v>739199</v>
      </c>
      <c r="C11" s="241">
        <f>'16'!T12</f>
        <v>571080</v>
      </c>
      <c r="D11" s="591">
        <v>25</v>
      </c>
      <c r="E11" s="435">
        <f t="shared" si="0"/>
        <v>142770</v>
      </c>
      <c r="F11" s="237">
        <v>0</v>
      </c>
      <c r="G11" s="436">
        <f t="shared" si="1"/>
        <v>428310</v>
      </c>
      <c r="H11" s="532"/>
      <c r="I11" s="437"/>
      <c r="J11" s="435"/>
      <c r="K11" s="437"/>
    </row>
    <row r="12" spans="1:20" s="284" customFormat="1" ht="20.25" customHeight="1" x14ac:dyDescent="0.2">
      <c r="A12" s="239" t="s">
        <v>80</v>
      </c>
      <c r="B12" s="435">
        <f>'15'!Q13</f>
        <v>789311</v>
      </c>
      <c r="C12" s="241">
        <f>'16'!T13</f>
        <v>751641</v>
      </c>
      <c r="D12" s="394">
        <v>20</v>
      </c>
      <c r="E12" s="435">
        <f t="shared" si="0"/>
        <v>150328.20000000001</v>
      </c>
      <c r="F12" s="241">
        <v>120000</v>
      </c>
      <c r="G12" s="561">
        <f t="shared" si="1"/>
        <v>481312.80000000005</v>
      </c>
      <c r="H12" s="532"/>
      <c r="I12" s="437"/>
      <c r="J12" s="435"/>
      <c r="K12" s="437"/>
    </row>
    <row r="13" spans="1:20" s="284" customFormat="1" ht="20.25" customHeight="1" x14ac:dyDescent="0.2">
      <c r="A13" s="239" t="s">
        <v>78</v>
      </c>
      <c r="B13" s="435">
        <f>'15'!Q14</f>
        <v>879213</v>
      </c>
      <c r="C13" s="241">
        <f>'16'!T14</f>
        <v>490551</v>
      </c>
      <c r="D13" s="394">
        <v>35</v>
      </c>
      <c r="E13" s="435">
        <f t="shared" si="0"/>
        <v>171692.85</v>
      </c>
      <c r="F13" s="241">
        <v>115334</v>
      </c>
      <c r="G13" s="561">
        <f t="shared" si="1"/>
        <v>203524.15000000002</v>
      </c>
      <c r="H13" s="532"/>
      <c r="I13" s="437"/>
      <c r="J13" s="435"/>
      <c r="K13" s="437"/>
    </row>
    <row r="14" spans="1:20" s="284" customFormat="1" ht="20.25" customHeight="1" x14ac:dyDescent="0.2">
      <c r="A14" s="239" t="s">
        <v>82</v>
      </c>
      <c r="B14" s="435">
        <f>'15'!Q15</f>
        <v>1025665</v>
      </c>
      <c r="C14" s="241">
        <f>'16'!T15</f>
        <v>931320</v>
      </c>
      <c r="D14" s="394">
        <v>20</v>
      </c>
      <c r="E14" s="435">
        <f t="shared" si="0"/>
        <v>186264</v>
      </c>
      <c r="F14" s="241">
        <v>3000</v>
      </c>
      <c r="G14" s="561">
        <f t="shared" si="1"/>
        <v>742056</v>
      </c>
      <c r="H14" s="532"/>
      <c r="I14" s="437"/>
      <c r="J14" s="435"/>
      <c r="K14" s="437"/>
    </row>
    <row r="15" spans="1:20" s="284" customFormat="1" ht="20.25" customHeight="1" x14ac:dyDescent="0.2">
      <c r="A15" s="239" t="s">
        <v>83</v>
      </c>
      <c r="B15" s="435">
        <f>'15'!Q16</f>
        <v>624000</v>
      </c>
      <c r="C15" s="241">
        <f>'16'!T16</f>
        <v>396925</v>
      </c>
      <c r="D15" s="394">
        <v>30</v>
      </c>
      <c r="E15" s="435">
        <f>C15*D15/100</f>
        <v>119077.5</v>
      </c>
      <c r="F15" s="241">
        <v>20000</v>
      </c>
      <c r="G15" s="561">
        <v>257847</v>
      </c>
      <c r="H15" s="532"/>
      <c r="I15" s="437"/>
      <c r="J15" s="435"/>
      <c r="K15" s="437"/>
    </row>
    <row r="16" spans="1:20" s="284" customFormat="1" ht="20.25" customHeight="1" x14ac:dyDescent="0.2">
      <c r="A16" s="239" t="s">
        <v>84</v>
      </c>
      <c r="B16" s="435">
        <f>'15'!Q17</f>
        <v>374473</v>
      </c>
      <c r="C16" s="241">
        <f>'16'!T17</f>
        <v>311271</v>
      </c>
      <c r="D16" s="394">
        <v>35</v>
      </c>
      <c r="E16" s="435">
        <f>C16*D16/100</f>
        <v>108944.85</v>
      </c>
      <c r="F16" s="241">
        <v>0</v>
      </c>
      <c r="G16" s="561">
        <f>C16-E16-F16</f>
        <v>202326.15</v>
      </c>
      <c r="H16" s="532"/>
      <c r="I16" s="437"/>
      <c r="J16" s="435"/>
      <c r="K16" s="437"/>
    </row>
    <row r="17" spans="1:21" s="284" customFormat="1" ht="20.25" customHeight="1" x14ac:dyDescent="0.2">
      <c r="A17" s="239" t="s">
        <v>85</v>
      </c>
      <c r="B17" s="435">
        <f>'15'!Q18</f>
        <v>855280</v>
      </c>
      <c r="C17" s="241">
        <f>'16'!T18</f>
        <v>656985</v>
      </c>
      <c r="D17" s="394">
        <v>8</v>
      </c>
      <c r="E17" s="241">
        <f>C17*D17/100</f>
        <v>52558.8</v>
      </c>
      <c r="F17" s="241">
        <v>1094</v>
      </c>
      <c r="G17" s="561">
        <f>C17-E17-F17</f>
        <v>603332.19999999995</v>
      </c>
      <c r="H17" s="532"/>
      <c r="I17" s="437"/>
      <c r="J17" s="241"/>
      <c r="K17" s="437"/>
    </row>
    <row r="18" spans="1:21" s="284" customFormat="1" ht="20.25" customHeight="1" x14ac:dyDescent="0.2">
      <c r="A18" s="239" t="s">
        <v>86</v>
      </c>
      <c r="B18" s="435">
        <f>'15'!Q19</f>
        <v>1035000</v>
      </c>
      <c r="C18" s="241">
        <f>'16'!T19</f>
        <v>784361</v>
      </c>
      <c r="D18" s="394">
        <v>5</v>
      </c>
      <c r="E18" s="435">
        <f>C18*D18/100</f>
        <v>39218.050000000003</v>
      </c>
      <c r="F18" s="241">
        <v>195</v>
      </c>
      <c r="G18" s="561">
        <f>C18-E18-F18</f>
        <v>744947.95</v>
      </c>
      <c r="H18" s="532"/>
      <c r="I18" s="532"/>
      <c r="J18" s="435"/>
      <c r="K18" s="437"/>
    </row>
    <row r="19" spans="1:21" s="284" customFormat="1" ht="20.25" customHeight="1" thickBot="1" x14ac:dyDescent="0.25">
      <c r="A19" s="242" t="s">
        <v>87</v>
      </c>
      <c r="B19" s="435">
        <f>'15'!Q20</f>
        <v>2037531</v>
      </c>
      <c r="C19" s="237">
        <f>'16'!T20</f>
        <v>1562056</v>
      </c>
      <c r="D19" s="591">
        <v>26</v>
      </c>
      <c r="E19" s="435">
        <f>C19*D19/100</f>
        <v>406134.56</v>
      </c>
      <c r="F19" s="237">
        <v>0</v>
      </c>
      <c r="G19" s="561">
        <f>C19-E19-F19</f>
        <v>1155921.44</v>
      </c>
      <c r="H19" s="532"/>
      <c r="I19" s="532"/>
      <c r="J19" s="435"/>
      <c r="K19" s="437"/>
    </row>
    <row r="20" spans="1:21" ht="21.75" customHeight="1" thickTop="1" thickBot="1" x14ac:dyDescent="0.25">
      <c r="A20" s="251" t="s">
        <v>309</v>
      </c>
      <c r="B20" s="254">
        <f>SUM(B4:B19)</f>
        <v>18662038</v>
      </c>
      <c r="C20" s="254">
        <f>SUM(C4:C19)</f>
        <v>15795940</v>
      </c>
      <c r="D20" s="363">
        <f>E20/C20*100</f>
        <v>20.099477270741723</v>
      </c>
      <c r="E20" s="254">
        <f>SUM(E4:E19)</f>
        <v>3174901.37</v>
      </c>
      <c r="F20" s="254">
        <f>SUM(F4:F19)</f>
        <v>305619</v>
      </c>
      <c r="G20" s="254">
        <f>SUM(G4:G19)</f>
        <v>12315418.629999999</v>
      </c>
      <c r="H20" s="361"/>
      <c r="I20" s="361"/>
      <c r="J20" s="234"/>
      <c r="K20" s="361"/>
    </row>
    <row r="21" spans="1:21" ht="19.5" customHeight="1" thickTop="1" thickBot="1" x14ac:dyDescent="0.25">
      <c r="A21" s="843" t="s">
        <v>357</v>
      </c>
      <c r="B21" s="843"/>
      <c r="C21" s="843"/>
      <c r="D21" s="843"/>
      <c r="E21" s="843"/>
      <c r="F21" s="843"/>
      <c r="G21" s="843"/>
      <c r="H21" s="234"/>
      <c r="I21" s="361"/>
      <c r="J21" s="234"/>
      <c r="K21" s="361"/>
    </row>
    <row r="22" spans="1:21" ht="27.75" customHeight="1" thickTop="1" x14ac:dyDescent="0.2">
      <c r="A22" s="850" t="s">
        <v>401</v>
      </c>
      <c r="B22" s="850"/>
      <c r="C22" s="850"/>
      <c r="D22" s="850"/>
      <c r="E22" s="850"/>
      <c r="F22" s="850"/>
      <c r="G22" s="850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</row>
    <row r="23" spans="1:21" ht="21" customHeight="1" x14ac:dyDescent="0.2">
      <c r="A23" s="844" t="s">
        <v>322</v>
      </c>
      <c r="B23" s="844"/>
      <c r="C23" s="844"/>
      <c r="D23" s="844"/>
      <c r="E23" s="844"/>
      <c r="F23" s="844"/>
      <c r="G23" s="844"/>
      <c r="H23" s="844"/>
      <c r="I23" s="844"/>
      <c r="J23" s="844"/>
      <c r="K23" s="844"/>
      <c r="L23" s="844"/>
      <c r="M23" s="844"/>
      <c r="N23" s="844"/>
      <c r="O23" s="234"/>
    </row>
    <row r="24" spans="1:21" ht="21" customHeight="1" thickBot="1" x14ac:dyDescent="0.25">
      <c r="A24" s="827" t="s">
        <v>323</v>
      </c>
      <c r="B24" s="827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234"/>
    </row>
    <row r="25" spans="1:21" ht="21" customHeight="1" x14ac:dyDescent="0.2">
      <c r="A25" s="823" t="s">
        <v>253</v>
      </c>
      <c r="B25" s="823"/>
      <c r="C25" s="823"/>
      <c r="D25" s="823"/>
      <c r="E25" s="823"/>
      <c r="F25" s="301"/>
      <c r="G25" s="309">
        <v>31</v>
      </c>
      <c r="H25" s="234"/>
      <c r="I25" s="234"/>
      <c r="J25" s="234"/>
      <c r="K25" s="361">
        <f>SUM(K20:K24)</f>
        <v>0</v>
      </c>
    </row>
    <row r="26" spans="1:21" x14ac:dyDescent="0.2">
      <c r="H26" s="234"/>
      <c r="I26" s="234"/>
      <c r="J26" s="234"/>
      <c r="K26" s="234"/>
    </row>
    <row r="28" spans="1:21" x14ac:dyDescent="0.2">
      <c r="E28" s="406">
        <f>C20*D20/100</f>
        <v>3174901.37</v>
      </c>
    </row>
    <row r="31" spans="1:21" x14ac:dyDescent="0.2">
      <c r="D31" s="500">
        <f>694395*11/100</f>
        <v>76383.45</v>
      </c>
      <c r="E31" s="232">
        <f>E28*365/1000000</f>
        <v>1158.8390000499999</v>
      </c>
    </row>
  </sheetData>
  <mergeCells count="9">
    <mergeCell ref="K3:M3"/>
    <mergeCell ref="A1:G1"/>
    <mergeCell ref="H1:O1"/>
    <mergeCell ref="H2:O2"/>
    <mergeCell ref="A25:E25"/>
    <mergeCell ref="A23:N23"/>
    <mergeCell ref="A24:N24"/>
    <mergeCell ref="A22:G22"/>
    <mergeCell ref="A21:G21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8"/>
  <sheetViews>
    <sheetView rightToLeft="1" view="pageBreakPreview" topLeftCell="A13" zoomScale="120" zoomScaleSheetLayoutView="120" workbookViewId="0">
      <selection sqref="A1:L1"/>
    </sheetView>
  </sheetViews>
  <sheetFormatPr defaultColWidth="10.42578125" defaultRowHeight="14.25" x14ac:dyDescent="0.2"/>
  <cols>
    <col min="1" max="1" width="14.140625" style="232" customWidth="1"/>
    <col min="2" max="4" width="10" style="232" customWidth="1"/>
    <col min="5" max="5" width="1.140625" style="232" customWidth="1"/>
    <col min="6" max="7" width="10" style="232" customWidth="1"/>
    <col min="8" max="8" width="10.42578125" style="232" customWidth="1"/>
    <col min="9" max="9" width="1.140625" style="232" customWidth="1"/>
    <col min="10" max="12" width="10" style="232" customWidth="1"/>
    <col min="13" max="13" width="12.85546875" style="232" customWidth="1"/>
    <col min="14" max="14" width="10.42578125" style="232"/>
    <col min="15" max="15" width="17.28515625" style="232" customWidth="1"/>
    <col min="16" max="16384" width="10.42578125" style="232"/>
  </cols>
  <sheetData>
    <row r="1" spans="1:15" ht="23.25" customHeight="1" x14ac:dyDescent="0.2">
      <c r="A1" s="851" t="s">
        <v>452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</row>
    <row r="2" spans="1:15" ht="23.25" customHeight="1" thickBot="1" x14ac:dyDescent="0.25">
      <c r="A2" s="852" t="s">
        <v>484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</row>
    <row r="3" spans="1:15" ht="23.25" customHeight="1" thickTop="1" x14ac:dyDescent="0.2">
      <c r="A3" s="853" t="s">
        <v>74</v>
      </c>
      <c r="B3" s="855" t="s">
        <v>5</v>
      </c>
      <c r="C3" s="855"/>
      <c r="D3" s="855"/>
      <c r="E3" s="479"/>
      <c r="F3" s="855" t="s">
        <v>268</v>
      </c>
      <c r="G3" s="855"/>
      <c r="H3" s="855"/>
      <c r="I3" s="855"/>
      <c r="J3" s="855" t="s">
        <v>269</v>
      </c>
      <c r="K3" s="855"/>
      <c r="L3" s="855"/>
    </row>
    <row r="4" spans="1:15" ht="23.25" customHeight="1" x14ac:dyDescent="0.2">
      <c r="A4" s="854"/>
      <c r="B4" s="278" t="s">
        <v>270</v>
      </c>
      <c r="C4" s="278" t="s">
        <v>90</v>
      </c>
      <c r="D4" s="278" t="s">
        <v>25</v>
      </c>
      <c r="E4" s="480"/>
      <c r="F4" s="278" t="s">
        <v>270</v>
      </c>
      <c r="G4" s="278" t="s">
        <v>90</v>
      </c>
      <c r="H4" s="278" t="s">
        <v>25</v>
      </c>
      <c r="I4" s="856"/>
      <c r="J4" s="278" t="s">
        <v>264</v>
      </c>
      <c r="K4" s="278" t="s">
        <v>271</v>
      </c>
      <c r="L4" s="278" t="s">
        <v>25</v>
      </c>
    </row>
    <row r="5" spans="1:15" s="285" customFormat="1" ht="21.75" customHeight="1" x14ac:dyDescent="0.2">
      <c r="A5" s="571" t="s">
        <v>75</v>
      </c>
      <c r="B5" s="241">
        <v>2382132</v>
      </c>
      <c r="C5" s="241">
        <v>1546083</v>
      </c>
      <c r="D5" s="241">
        <f t="shared" ref="D5:D15" si="0">SUM(B5:C5)</f>
        <v>3928215</v>
      </c>
      <c r="E5" s="286"/>
      <c r="F5" s="241">
        <f t="shared" ref="F5:G8" si="1">B5*J5/100</f>
        <v>2310668.04</v>
      </c>
      <c r="G5" s="241">
        <f t="shared" si="1"/>
        <v>1159562.25</v>
      </c>
      <c r="H5" s="241">
        <f t="shared" ref="H5:H10" si="2">SUM(F5:G5)</f>
        <v>3470230.29</v>
      </c>
      <c r="I5" s="241"/>
      <c r="J5" s="439">
        <v>97</v>
      </c>
      <c r="K5" s="439">
        <v>75</v>
      </c>
      <c r="L5" s="439">
        <f t="shared" ref="L5:L15" si="3">H5/D5*100</f>
        <v>88.341149606118805</v>
      </c>
    </row>
    <row r="6" spans="1:15" s="285" customFormat="1" ht="21.75" customHeight="1" x14ac:dyDescent="0.2">
      <c r="A6" s="571" t="s">
        <v>76</v>
      </c>
      <c r="B6" s="241">
        <v>1243881</v>
      </c>
      <c r="C6" s="241">
        <v>438928</v>
      </c>
      <c r="D6" s="241">
        <f t="shared" si="0"/>
        <v>1682809</v>
      </c>
      <c r="E6" s="286"/>
      <c r="F6" s="241">
        <f t="shared" si="1"/>
        <v>1169248.1399999999</v>
      </c>
      <c r="G6" s="241">
        <f t="shared" si="1"/>
        <v>390645.92</v>
      </c>
      <c r="H6" s="241">
        <f t="shared" si="2"/>
        <v>1559894.0599999998</v>
      </c>
      <c r="I6" s="241"/>
      <c r="J6" s="439">
        <v>94</v>
      </c>
      <c r="K6" s="439">
        <v>89</v>
      </c>
      <c r="L6" s="439">
        <f t="shared" si="3"/>
        <v>92.69584724113075</v>
      </c>
    </row>
    <row r="7" spans="1:15" s="285" customFormat="1" ht="21.75" customHeight="1" x14ac:dyDescent="0.2">
      <c r="A7" s="239" t="s">
        <v>77</v>
      </c>
      <c r="B7" s="241">
        <v>848350</v>
      </c>
      <c r="C7" s="241">
        <v>875888</v>
      </c>
      <c r="D7" s="241">
        <f t="shared" si="0"/>
        <v>1724238</v>
      </c>
      <c r="E7" s="286"/>
      <c r="F7" s="241">
        <f t="shared" si="1"/>
        <v>848350</v>
      </c>
      <c r="G7" s="241">
        <f t="shared" si="1"/>
        <v>700710.40000000002</v>
      </c>
      <c r="H7" s="241">
        <f t="shared" si="2"/>
        <v>1549060.4</v>
      </c>
      <c r="I7" s="241"/>
      <c r="J7" s="439">
        <v>100</v>
      </c>
      <c r="K7" s="439">
        <v>80</v>
      </c>
      <c r="L7" s="439">
        <f t="shared" si="3"/>
        <v>89.840288869633994</v>
      </c>
    </row>
    <row r="8" spans="1:15" s="285" customFormat="1" ht="21.75" customHeight="1" x14ac:dyDescent="0.2">
      <c r="A8" s="239" t="s">
        <v>330</v>
      </c>
      <c r="B8" s="241">
        <v>933217</v>
      </c>
      <c r="C8" s="241">
        <v>932601</v>
      </c>
      <c r="D8" s="241">
        <f t="shared" si="0"/>
        <v>1865818</v>
      </c>
      <c r="E8" s="286"/>
      <c r="F8" s="241">
        <f t="shared" si="1"/>
        <v>737241.43</v>
      </c>
      <c r="G8" s="241">
        <f t="shared" si="1"/>
        <v>652820.69999999995</v>
      </c>
      <c r="H8" s="241">
        <f t="shared" si="2"/>
        <v>1390062.13</v>
      </c>
      <c r="I8" s="241"/>
      <c r="J8" s="439">
        <v>79</v>
      </c>
      <c r="K8" s="439">
        <v>70</v>
      </c>
      <c r="L8" s="439">
        <f t="shared" si="3"/>
        <v>74.501485675451733</v>
      </c>
    </row>
    <row r="9" spans="1:15" s="285" customFormat="1" ht="21.75" customHeight="1" x14ac:dyDescent="0.2">
      <c r="A9" s="239" t="s">
        <v>88</v>
      </c>
      <c r="B9" s="241">
        <v>6311527</v>
      </c>
      <c r="C9" s="241">
        <v>0</v>
      </c>
      <c r="D9" s="241">
        <f t="shared" si="0"/>
        <v>6311527</v>
      </c>
      <c r="E9" s="286"/>
      <c r="F9" s="241">
        <v>6311527</v>
      </c>
      <c r="G9" s="241">
        <v>0</v>
      </c>
      <c r="H9" s="241">
        <f t="shared" si="2"/>
        <v>6311527</v>
      </c>
      <c r="I9" s="241"/>
      <c r="J9" s="439">
        <v>100</v>
      </c>
      <c r="K9" s="439">
        <v>0</v>
      </c>
      <c r="L9" s="439">
        <f t="shared" si="3"/>
        <v>100</v>
      </c>
      <c r="O9" s="555"/>
    </row>
    <row r="10" spans="1:15" s="285" customFormat="1" ht="21.75" customHeight="1" x14ac:dyDescent="0.2">
      <c r="A10" s="239" t="s">
        <v>79</v>
      </c>
      <c r="B10" s="241">
        <v>1176560</v>
      </c>
      <c r="C10" s="241">
        <v>1070538</v>
      </c>
      <c r="D10" s="241">
        <f t="shared" si="0"/>
        <v>2247098</v>
      </c>
      <c r="E10" s="286"/>
      <c r="F10" s="241">
        <f t="shared" ref="F10" si="4">B10*J10/100</f>
        <v>705936</v>
      </c>
      <c r="G10" s="241">
        <f t="shared" ref="G10" si="5">C10*K10/100</f>
        <v>428215.2</v>
      </c>
      <c r="H10" s="241">
        <f t="shared" si="2"/>
        <v>1134151.2</v>
      </c>
      <c r="I10" s="241"/>
      <c r="J10" s="439">
        <v>60</v>
      </c>
      <c r="K10" s="439">
        <v>40</v>
      </c>
      <c r="L10" s="439">
        <f t="shared" si="3"/>
        <v>50.471817428523366</v>
      </c>
      <c r="O10" s="555"/>
    </row>
    <row r="11" spans="1:15" s="285" customFormat="1" ht="21.75" customHeight="1" x14ac:dyDescent="0.2">
      <c r="A11" s="239" t="s">
        <v>81</v>
      </c>
      <c r="B11" s="237">
        <v>1049856</v>
      </c>
      <c r="C11" s="237">
        <v>1124927</v>
      </c>
      <c r="D11" s="237">
        <f t="shared" si="0"/>
        <v>2174783</v>
      </c>
      <c r="E11" s="286"/>
      <c r="F11" s="241">
        <f t="shared" ref="F11:G13" si="6">B11*J11/100</f>
        <v>892377.59999999998</v>
      </c>
      <c r="G11" s="241">
        <f t="shared" si="6"/>
        <v>618709.85</v>
      </c>
      <c r="H11" s="241">
        <v>1511088</v>
      </c>
      <c r="I11" s="241"/>
      <c r="J11" s="439">
        <v>85</v>
      </c>
      <c r="K11" s="439">
        <v>55</v>
      </c>
      <c r="L11" s="439">
        <f t="shared" si="3"/>
        <v>69.482242596157874</v>
      </c>
    </row>
    <row r="12" spans="1:15" s="285" customFormat="1" ht="21.75" customHeight="1" x14ac:dyDescent="0.2">
      <c r="A12" s="239" t="s">
        <v>73</v>
      </c>
      <c r="B12" s="241">
        <v>858171</v>
      </c>
      <c r="C12" s="241">
        <v>425313</v>
      </c>
      <c r="D12" s="241">
        <f t="shared" si="0"/>
        <v>1283484</v>
      </c>
      <c r="E12" s="594"/>
      <c r="F12" s="241">
        <f t="shared" si="6"/>
        <v>832425.87</v>
      </c>
      <c r="G12" s="241">
        <f t="shared" si="6"/>
        <v>370022.31</v>
      </c>
      <c r="H12" s="237">
        <f t="shared" ref="H12:H20" si="7">SUM(F12:G12)</f>
        <v>1202448.18</v>
      </c>
      <c r="I12" s="237"/>
      <c r="J12" s="439">
        <v>97</v>
      </c>
      <c r="K12" s="439">
        <v>87</v>
      </c>
      <c r="L12" s="439">
        <f t="shared" si="3"/>
        <v>93.686261768748182</v>
      </c>
    </row>
    <row r="13" spans="1:15" s="284" customFormat="1" ht="21.75" customHeight="1" x14ac:dyDescent="0.2">
      <c r="A13" s="239" t="s">
        <v>80</v>
      </c>
      <c r="B13" s="241">
        <v>873884</v>
      </c>
      <c r="C13" s="241">
        <v>578123</v>
      </c>
      <c r="D13" s="241">
        <f t="shared" si="0"/>
        <v>1452007</v>
      </c>
      <c r="E13" s="286"/>
      <c r="F13" s="241">
        <f t="shared" si="6"/>
        <v>873884</v>
      </c>
      <c r="G13" s="241">
        <f t="shared" si="6"/>
        <v>462498.4</v>
      </c>
      <c r="H13" s="241">
        <f t="shared" si="7"/>
        <v>1336382.3999999999</v>
      </c>
      <c r="I13" s="241"/>
      <c r="J13" s="439">
        <v>100</v>
      </c>
      <c r="K13" s="439">
        <v>80</v>
      </c>
      <c r="L13" s="439">
        <f t="shared" si="3"/>
        <v>92.036911667781212</v>
      </c>
      <c r="O13" s="285"/>
    </row>
    <row r="14" spans="1:15" s="284" customFormat="1" ht="21.75" customHeight="1" x14ac:dyDescent="0.2">
      <c r="A14" s="239" t="s">
        <v>78</v>
      </c>
      <c r="B14" s="241">
        <v>757567</v>
      </c>
      <c r="C14" s="241">
        <v>922448</v>
      </c>
      <c r="D14" s="241">
        <f t="shared" si="0"/>
        <v>1680015</v>
      </c>
      <c r="E14" s="286"/>
      <c r="F14" s="241">
        <f>B14*J14/100</f>
        <v>606053.6</v>
      </c>
      <c r="G14" s="241">
        <v>451999</v>
      </c>
      <c r="H14" s="241">
        <f t="shared" si="7"/>
        <v>1058052.6000000001</v>
      </c>
      <c r="I14" s="241"/>
      <c r="J14" s="439">
        <v>80</v>
      </c>
      <c r="K14" s="439">
        <v>49</v>
      </c>
      <c r="L14" s="439">
        <f t="shared" si="3"/>
        <v>62.978759118222158</v>
      </c>
      <c r="O14" s="285"/>
    </row>
    <row r="15" spans="1:15" s="284" customFormat="1" ht="21.75" customHeight="1" x14ac:dyDescent="0.2">
      <c r="A15" s="239" t="s">
        <v>82</v>
      </c>
      <c r="B15" s="241">
        <v>1106811</v>
      </c>
      <c r="C15" s="241">
        <v>442977</v>
      </c>
      <c r="D15" s="241">
        <f t="shared" si="0"/>
        <v>1549788</v>
      </c>
      <c r="E15" s="286"/>
      <c r="F15" s="241">
        <f>B15*J15/100</f>
        <v>1084674.78</v>
      </c>
      <c r="G15" s="241">
        <f>C15*K15/100</f>
        <v>416398.38</v>
      </c>
      <c r="H15" s="241">
        <f t="shared" si="7"/>
        <v>1501073.1600000001</v>
      </c>
      <c r="I15" s="241"/>
      <c r="J15" s="439">
        <v>98</v>
      </c>
      <c r="K15" s="439">
        <v>94</v>
      </c>
      <c r="L15" s="439">
        <f t="shared" si="3"/>
        <v>96.856677171329252</v>
      </c>
      <c r="O15" s="285"/>
    </row>
    <row r="16" spans="1:15" s="284" customFormat="1" ht="21.75" customHeight="1" x14ac:dyDescent="0.2">
      <c r="A16" s="239" t="s">
        <v>83</v>
      </c>
      <c r="B16" s="241">
        <v>778901</v>
      </c>
      <c r="C16" s="241">
        <v>580741</v>
      </c>
      <c r="D16" s="241">
        <f>SUM(B16:C16)</f>
        <v>1359642</v>
      </c>
      <c r="E16" s="286"/>
      <c r="F16" s="241">
        <f t="shared" ref="F16:G20" si="8">B16*J16/100</f>
        <v>638698.81999999995</v>
      </c>
      <c r="G16" s="241">
        <f t="shared" si="8"/>
        <v>365866.83</v>
      </c>
      <c r="H16" s="241">
        <f t="shared" si="7"/>
        <v>1004565.6499999999</v>
      </c>
      <c r="I16" s="241"/>
      <c r="J16" s="439">
        <v>82</v>
      </c>
      <c r="K16" s="439">
        <v>63</v>
      </c>
      <c r="L16" s="439">
        <f t="shared" ref="L16:L21" si="9">H16/D16*100</f>
        <v>73.884570350136286</v>
      </c>
      <c r="O16" s="285"/>
    </row>
    <row r="17" spans="1:15" s="284" customFormat="1" ht="21.75" customHeight="1" x14ac:dyDescent="0.2">
      <c r="A17" s="239" t="s">
        <v>84</v>
      </c>
      <c r="B17" s="241">
        <v>398334</v>
      </c>
      <c r="C17" s="241">
        <v>459318</v>
      </c>
      <c r="D17" s="241">
        <f>SUM(B17:C17)</f>
        <v>857652</v>
      </c>
      <c r="E17" s="286"/>
      <c r="F17" s="241">
        <f t="shared" si="8"/>
        <v>338583.9</v>
      </c>
      <c r="G17" s="241">
        <f t="shared" si="8"/>
        <v>298556.7</v>
      </c>
      <c r="H17" s="241">
        <f t="shared" si="7"/>
        <v>637140.60000000009</v>
      </c>
      <c r="I17" s="241"/>
      <c r="J17" s="439">
        <v>85</v>
      </c>
      <c r="K17" s="439">
        <v>65</v>
      </c>
      <c r="L17" s="439">
        <f t="shared" si="9"/>
        <v>74.288942368233279</v>
      </c>
      <c r="O17" s="285"/>
    </row>
    <row r="18" spans="1:15" s="284" customFormat="1" ht="21.75" customHeight="1" x14ac:dyDescent="0.2">
      <c r="A18" s="239" t="s">
        <v>85</v>
      </c>
      <c r="B18" s="241">
        <v>1416271</v>
      </c>
      <c r="C18" s="241">
        <v>790243</v>
      </c>
      <c r="D18" s="241">
        <f>SUM(B18:C18)</f>
        <v>2206514</v>
      </c>
      <c r="E18" s="286"/>
      <c r="F18" s="241">
        <f t="shared" si="8"/>
        <v>1175504.93</v>
      </c>
      <c r="G18" s="241">
        <f t="shared" si="8"/>
        <v>197560.75</v>
      </c>
      <c r="H18" s="241">
        <f t="shared" si="7"/>
        <v>1373065.68</v>
      </c>
      <c r="I18" s="241"/>
      <c r="J18" s="439">
        <v>83</v>
      </c>
      <c r="K18" s="439">
        <v>25</v>
      </c>
      <c r="L18" s="439">
        <f t="shared" si="9"/>
        <v>62.227825429614313</v>
      </c>
      <c r="O18" s="285"/>
    </row>
    <row r="19" spans="1:15" s="284" customFormat="1" ht="21.75" customHeight="1" x14ac:dyDescent="0.2">
      <c r="A19" s="239" t="s">
        <v>86</v>
      </c>
      <c r="B19" s="241">
        <v>865530</v>
      </c>
      <c r="C19" s="241">
        <v>306272</v>
      </c>
      <c r="D19" s="241">
        <f>SUM(B19:C19)</f>
        <v>1171802</v>
      </c>
      <c r="E19" s="286"/>
      <c r="F19" s="241">
        <f t="shared" si="8"/>
        <v>778977</v>
      </c>
      <c r="G19" s="241">
        <f t="shared" si="8"/>
        <v>260331.2</v>
      </c>
      <c r="H19" s="241">
        <f t="shared" si="7"/>
        <v>1039308.2</v>
      </c>
      <c r="I19" s="241"/>
      <c r="J19" s="439">
        <v>90</v>
      </c>
      <c r="K19" s="439">
        <v>85</v>
      </c>
      <c r="L19" s="439">
        <f t="shared" si="9"/>
        <v>88.69315805912602</v>
      </c>
      <c r="O19" s="285"/>
    </row>
    <row r="20" spans="1:15" s="284" customFormat="1" ht="21.75" customHeight="1" thickBot="1" x14ac:dyDescent="0.25">
      <c r="A20" s="242" t="s">
        <v>87</v>
      </c>
      <c r="B20" s="237">
        <v>2487658</v>
      </c>
      <c r="C20" s="237">
        <v>575401</v>
      </c>
      <c r="D20" s="237">
        <f>SUM(B20:C20)</f>
        <v>3063059</v>
      </c>
      <c r="E20" s="594"/>
      <c r="F20" s="241">
        <f t="shared" si="8"/>
        <v>2238892.2000000002</v>
      </c>
      <c r="G20" s="241">
        <f t="shared" si="8"/>
        <v>489090.85</v>
      </c>
      <c r="H20" s="241">
        <f t="shared" si="7"/>
        <v>2727983.0500000003</v>
      </c>
      <c r="I20" s="237"/>
      <c r="J20" s="439">
        <v>90</v>
      </c>
      <c r="K20" s="439">
        <v>85</v>
      </c>
      <c r="L20" s="439">
        <f t="shared" si="9"/>
        <v>89.060741239395</v>
      </c>
      <c r="O20" s="285"/>
    </row>
    <row r="21" spans="1:15" ht="21.75" customHeight="1" thickTop="1" thickBot="1" x14ac:dyDescent="0.25">
      <c r="A21" s="251" t="s">
        <v>309</v>
      </c>
      <c r="B21" s="289">
        <f>SUM(B5:B20)</f>
        <v>23488650</v>
      </c>
      <c r="C21" s="289">
        <f>SUM(C5:C20)</f>
        <v>11069801</v>
      </c>
      <c r="D21" s="289">
        <f>SUM(D5:D20)</f>
        <v>34558451</v>
      </c>
      <c r="E21" s="288"/>
      <c r="F21" s="254">
        <v>21543044</v>
      </c>
      <c r="G21" s="254">
        <f>SUM(G5:G20)</f>
        <v>7262988.7400000002</v>
      </c>
      <c r="H21" s="254">
        <f>SUM(H5:H20)</f>
        <v>28806032.599999998</v>
      </c>
      <c r="I21" s="254"/>
      <c r="J21" s="258">
        <f>F21/B21*100</f>
        <v>91.716824934596076</v>
      </c>
      <c r="K21" s="258">
        <f>G21/C21*100</f>
        <v>65.610833835224327</v>
      </c>
      <c r="L21" s="258">
        <f t="shared" si="9"/>
        <v>83.354524773115543</v>
      </c>
    </row>
    <row r="22" spans="1:15" ht="18" customHeight="1" thickTop="1" x14ac:dyDescent="0.2">
      <c r="A22" s="857" t="s">
        <v>267</v>
      </c>
      <c r="B22" s="857"/>
      <c r="C22" s="857"/>
      <c r="D22" s="857"/>
      <c r="E22" s="245"/>
      <c r="F22" s="256"/>
      <c r="G22" s="256"/>
      <c r="H22" s="256"/>
      <c r="I22" s="256"/>
      <c r="J22" s="247"/>
      <c r="K22" s="247"/>
      <c r="L22" s="247"/>
    </row>
    <row r="23" spans="1:15" ht="18" customHeight="1" x14ac:dyDescent="0.2">
      <c r="A23" s="844" t="s">
        <v>322</v>
      </c>
      <c r="B23" s="844"/>
      <c r="C23" s="844"/>
      <c r="D23" s="844"/>
      <c r="E23" s="844"/>
      <c r="F23" s="844"/>
      <c r="G23" s="844"/>
      <c r="H23" s="844"/>
      <c r="I23" s="844"/>
      <c r="J23" s="844"/>
      <c r="K23" s="477"/>
      <c r="L23" s="477"/>
      <c r="M23" s="477"/>
      <c r="N23" s="477"/>
    </row>
    <row r="24" spans="1:15" ht="18" customHeight="1" x14ac:dyDescent="0.2">
      <c r="A24" s="827" t="s">
        <v>323</v>
      </c>
      <c r="B24" s="827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234"/>
    </row>
    <row r="25" spans="1:15" ht="18" customHeight="1" thickBot="1" x14ac:dyDescent="0.25">
      <c r="A25" s="827"/>
      <c r="B25" s="827"/>
      <c r="C25" s="827"/>
      <c r="D25" s="827"/>
      <c r="E25" s="827"/>
      <c r="F25" s="827"/>
      <c r="G25" s="827"/>
      <c r="H25" s="827"/>
      <c r="I25" s="827"/>
      <c r="J25" s="827"/>
      <c r="K25" s="827"/>
      <c r="L25" s="827"/>
      <c r="M25" s="827"/>
      <c r="N25" s="827"/>
      <c r="O25" s="234"/>
    </row>
    <row r="26" spans="1:15" ht="18" customHeight="1" x14ac:dyDescent="0.2">
      <c r="A26" s="823" t="s">
        <v>253</v>
      </c>
      <c r="B26" s="823"/>
      <c r="C26" s="823"/>
      <c r="D26" s="823"/>
      <c r="E26" s="823"/>
      <c r="F26" s="823"/>
      <c r="G26" s="823"/>
      <c r="H26" s="823"/>
      <c r="I26" s="478"/>
      <c r="J26" s="287"/>
      <c r="K26" s="287"/>
      <c r="L26" s="310">
        <v>32</v>
      </c>
    </row>
    <row r="27" spans="1:15" ht="18" customHeight="1" x14ac:dyDescent="0.2"/>
    <row r="28" spans="1:15" ht="18" customHeight="1" x14ac:dyDescent="0.2"/>
    <row r="31" spans="1:15" x14ac:dyDescent="0.2">
      <c r="B31" s="232">
        <v>2310668.04</v>
      </c>
      <c r="C31" s="232">
        <v>1057009.68</v>
      </c>
      <c r="D31" s="232">
        <v>3228461.5199999996</v>
      </c>
    </row>
    <row r="32" spans="1:15" x14ac:dyDescent="0.2">
      <c r="B32" s="232">
        <v>1169248.1399999999</v>
      </c>
      <c r="C32" s="232">
        <v>345919.1</v>
      </c>
      <c r="D32" s="232">
        <v>1432536.62</v>
      </c>
    </row>
    <row r="33" spans="2:4" x14ac:dyDescent="0.2">
      <c r="B33" s="232">
        <v>848350</v>
      </c>
      <c r="C33" s="232">
        <v>623766.75</v>
      </c>
      <c r="D33" s="232">
        <v>1429303.75</v>
      </c>
    </row>
    <row r="34" spans="2:4" x14ac:dyDescent="0.2">
      <c r="B34" s="232">
        <v>737241.43</v>
      </c>
      <c r="C34" s="232">
        <v>619878.69999999995</v>
      </c>
      <c r="D34" s="232">
        <v>1417383</v>
      </c>
    </row>
    <row r="35" spans="2:4" x14ac:dyDescent="0.2">
      <c r="B35" s="232">
        <v>6311527</v>
      </c>
      <c r="C35" s="232">
        <v>0</v>
      </c>
      <c r="D35" s="232">
        <v>5993043</v>
      </c>
    </row>
    <row r="36" spans="2:4" x14ac:dyDescent="0.2">
      <c r="B36" s="232">
        <v>705936</v>
      </c>
      <c r="C36" s="232">
        <v>406608.4</v>
      </c>
      <c r="D36" s="232">
        <v>1076923</v>
      </c>
    </row>
    <row r="37" spans="2:4" x14ac:dyDescent="0.2">
      <c r="B37" s="232">
        <v>892377.59999999998</v>
      </c>
      <c r="C37" s="232">
        <v>534078.5</v>
      </c>
      <c r="D37" s="232">
        <v>1331586.5</v>
      </c>
    </row>
    <row r="38" spans="2:4" x14ac:dyDescent="0.2">
      <c r="B38" s="232">
        <v>832425.87</v>
      </c>
      <c r="C38" s="232">
        <v>347319.6</v>
      </c>
      <c r="D38" s="232">
        <v>1129596.72</v>
      </c>
    </row>
    <row r="39" spans="2:4" x14ac:dyDescent="0.2">
      <c r="B39" s="232">
        <v>873884</v>
      </c>
      <c r="C39" s="232">
        <v>439152</v>
      </c>
      <c r="D39" s="232">
        <v>1227445.8500000001</v>
      </c>
    </row>
    <row r="40" spans="2:4" x14ac:dyDescent="0.2">
      <c r="B40" s="232">
        <v>606053.6</v>
      </c>
      <c r="C40" s="232">
        <v>376634.42</v>
      </c>
      <c r="D40" s="232">
        <v>916140.16999999993</v>
      </c>
    </row>
    <row r="41" spans="2:4" x14ac:dyDescent="0.2">
      <c r="B41" s="232">
        <v>1084674.78</v>
      </c>
      <c r="C41" s="232">
        <v>344913.32</v>
      </c>
      <c r="D41" s="232">
        <v>1374860</v>
      </c>
    </row>
    <row r="42" spans="2:4" x14ac:dyDescent="0.2">
      <c r="B42" s="232">
        <v>638698.81999999995</v>
      </c>
      <c r="C42" s="232">
        <v>347411.61</v>
      </c>
      <c r="D42" s="232">
        <v>953885</v>
      </c>
    </row>
    <row r="43" spans="2:4" x14ac:dyDescent="0.2">
      <c r="B43" s="232">
        <v>338583.9</v>
      </c>
      <c r="C43" s="232">
        <v>293395.08</v>
      </c>
      <c r="D43" s="232">
        <v>622546.44999999995</v>
      </c>
    </row>
    <row r="44" spans="2:4" x14ac:dyDescent="0.2">
      <c r="B44" s="232">
        <v>1175504.93</v>
      </c>
      <c r="C44" s="232">
        <v>172583.26</v>
      </c>
      <c r="D44" s="232">
        <v>1329119.8600000001</v>
      </c>
    </row>
    <row r="45" spans="2:4" x14ac:dyDescent="0.2">
      <c r="B45" s="232">
        <v>778977</v>
      </c>
      <c r="C45" s="232">
        <v>258829.8</v>
      </c>
      <c r="D45" s="232">
        <v>1023153.0900000001</v>
      </c>
    </row>
    <row r="46" spans="2:4" x14ac:dyDescent="0.2">
      <c r="B46" s="232">
        <v>2238892.2000000002</v>
      </c>
      <c r="C46" s="232">
        <v>491731.20000000001</v>
      </c>
      <c r="D46" s="232">
        <v>2617641.9000000004</v>
      </c>
    </row>
    <row r="48" spans="2:4" x14ac:dyDescent="0.2">
      <c r="B48" s="536">
        <f>SUM(B31:B47)</f>
        <v>21543043.309999995</v>
      </c>
      <c r="C48" s="536">
        <f>SUM(C31:C47)</f>
        <v>6659231.4199999999</v>
      </c>
      <c r="D48" s="536">
        <f>SUM(D31:D47)</f>
        <v>27103626.43</v>
      </c>
    </row>
  </sheetData>
  <mergeCells count="12">
    <mergeCell ref="A26:H26"/>
    <mergeCell ref="A25:N25"/>
    <mergeCell ref="A24:N24"/>
    <mergeCell ref="A23:J23"/>
    <mergeCell ref="A22:D22"/>
    <mergeCell ref="A1:L1"/>
    <mergeCell ref="A2:L2"/>
    <mergeCell ref="A3:A4"/>
    <mergeCell ref="B3:D3"/>
    <mergeCell ref="F3:H3"/>
    <mergeCell ref="I3:I4"/>
    <mergeCell ref="J3:L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2"/>
  <sheetViews>
    <sheetView rightToLeft="1" view="pageBreakPreview" zoomScaleSheetLayoutView="100" workbookViewId="0">
      <selection sqref="A1:H1"/>
    </sheetView>
  </sheetViews>
  <sheetFormatPr defaultColWidth="10.42578125" defaultRowHeight="14.25" x14ac:dyDescent="0.2"/>
  <cols>
    <col min="1" max="8" width="17.28515625" style="279" customWidth="1"/>
    <col min="9" max="9" width="14.5703125" style="279" bestFit="1" customWidth="1"/>
    <col min="10" max="10" width="12.7109375" style="279" bestFit="1" customWidth="1"/>
    <col min="11" max="11" width="14.7109375" style="279" customWidth="1"/>
    <col min="12" max="12" width="17.85546875" style="279" customWidth="1"/>
    <col min="13" max="16384" width="10.42578125" style="279"/>
  </cols>
  <sheetData>
    <row r="1" spans="1:13" ht="29.25" customHeight="1" x14ac:dyDescent="0.2">
      <c r="A1" s="858" t="s">
        <v>453</v>
      </c>
      <c r="B1" s="858"/>
      <c r="C1" s="858"/>
      <c r="D1" s="858"/>
      <c r="E1" s="858"/>
      <c r="F1" s="858"/>
      <c r="G1" s="858"/>
      <c r="H1" s="858"/>
    </row>
    <row r="2" spans="1:13" ht="29.25" customHeight="1" thickBot="1" x14ac:dyDescent="0.25">
      <c r="A2" s="859" t="s">
        <v>485</v>
      </c>
      <c r="B2" s="859"/>
      <c r="C2" s="859"/>
      <c r="D2" s="859"/>
      <c r="E2" s="859"/>
      <c r="F2" s="859"/>
      <c r="G2" s="859"/>
      <c r="H2" s="859"/>
    </row>
    <row r="3" spans="1:13" ht="35.25" customHeight="1" thickTop="1" x14ac:dyDescent="0.2">
      <c r="A3" s="860" t="s">
        <v>74</v>
      </c>
      <c r="B3" s="860" t="s">
        <v>266</v>
      </c>
      <c r="C3" s="862" t="s">
        <v>327</v>
      </c>
      <c r="D3" s="862"/>
      <c r="E3" s="862"/>
      <c r="F3" s="860" t="s">
        <v>371</v>
      </c>
      <c r="G3" s="860" t="s">
        <v>370</v>
      </c>
      <c r="H3" s="860" t="s">
        <v>391</v>
      </c>
      <c r="I3" s="424"/>
      <c r="J3" s="425"/>
      <c r="K3" s="425"/>
      <c r="L3" s="425"/>
    </row>
    <row r="4" spans="1:13" ht="25.5" customHeight="1" x14ac:dyDescent="0.2">
      <c r="A4" s="861"/>
      <c r="B4" s="861"/>
      <c r="C4" s="278" t="s">
        <v>270</v>
      </c>
      <c r="D4" s="282" t="s">
        <v>90</v>
      </c>
      <c r="E4" s="283" t="s">
        <v>215</v>
      </c>
      <c r="F4" s="861"/>
      <c r="G4" s="861"/>
      <c r="H4" s="861"/>
    </row>
    <row r="5" spans="1:13" s="646" customFormat="1" ht="21" customHeight="1" x14ac:dyDescent="0.2">
      <c r="A5" s="571" t="s">
        <v>75</v>
      </c>
      <c r="B5" s="241">
        <v>3928215</v>
      </c>
      <c r="C5" s="241">
        <v>1212936.8999999999</v>
      </c>
      <c r="D5" s="241">
        <v>519830.1</v>
      </c>
      <c r="E5" s="568">
        <v>1732767</v>
      </c>
      <c r="F5" s="435">
        <v>0</v>
      </c>
      <c r="G5" s="435">
        <f t="shared" ref="G5:G15" si="0">SUM(E5:F5)</f>
        <v>1732767</v>
      </c>
      <c r="H5" s="501">
        <f t="shared" ref="H5:H15" si="1">G5/B5*1000</f>
        <v>441.10798416074476</v>
      </c>
      <c r="I5" s="645"/>
      <c r="K5" s="647"/>
      <c r="L5" s="559"/>
      <c r="M5" s="648"/>
    </row>
    <row r="6" spans="1:13" s="285" customFormat="1" ht="21" customHeight="1" x14ac:dyDescent="0.25">
      <c r="A6" s="571" t="s">
        <v>76</v>
      </c>
      <c r="B6" s="241">
        <v>1682809</v>
      </c>
      <c r="C6" s="328">
        <v>618012</v>
      </c>
      <c r="D6" s="328">
        <v>76383</v>
      </c>
      <c r="E6" s="329">
        <f>SUM(C6:D6)</f>
        <v>694395</v>
      </c>
      <c r="F6" s="435">
        <v>1296</v>
      </c>
      <c r="G6" s="241">
        <f t="shared" si="0"/>
        <v>695691</v>
      </c>
      <c r="H6" s="501">
        <f t="shared" si="1"/>
        <v>413.41055342584929</v>
      </c>
      <c r="I6" s="556"/>
      <c r="J6" s="557"/>
      <c r="K6" s="569"/>
      <c r="L6" s="559"/>
      <c r="M6" s="558"/>
    </row>
    <row r="7" spans="1:13" s="285" customFormat="1" ht="21" customHeight="1" x14ac:dyDescent="0.25">
      <c r="A7" s="239" t="s">
        <v>77</v>
      </c>
      <c r="B7" s="241">
        <f>'18'!D7</f>
        <v>1724238</v>
      </c>
      <c r="C7" s="328">
        <v>355443.71250000002</v>
      </c>
      <c r="D7" s="328">
        <v>118481.2375</v>
      </c>
      <c r="E7" s="329">
        <v>473924.95</v>
      </c>
      <c r="F7" s="241">
        <v>44700</v>
      </c>
      <c r="G7" s="241">
        <f t="shared" si="0"/>
        <v>518624.95</v>
      </c>
      <c r="H7" s="501">
        <f t="shared" si="1"/>
        <v>300.78501343782006</v>
      </c>
      <c r="I7" s="556"/>
      <c r="J7" s="557"/>
      <c r="K7" s="569"/>
      <c r="L7" s="559"/>
      <c r="M7" s="558"/>
    </row>
    <row r="8" spans="1:13" s="285" customFormat="1" ht="21" customHeight="1" x14ac:dyDescent="0.25">
      <c r="A8" s="239" t="s">
        <v>330</v>
      </c>
      <c r="B8" s="241">
        <f>'18'!D8</f>
        <v>1865818</v>
      </c>
      <c r="C8" s="328">
        <v>186193.56</v>
      </c>
      <c r="D8" s="328">
        <v>124129.04</v>
      </c>
      <c r="E8" s="568">
        <v>310322.59999999998</v>
      </c>
      <c r="F8" s="241">
        <v>0</v>
      </c>
      <c r="G8" s="241">
        <f t="shared" si="0"/>
        <v>310322.59999999998</v>
      </c>
      <c r="H8" s="501">
        <f t="shared" si="1"/>
        <v>166.31986613914111</v>
      </c>
      <c r="I8" s="556"/>
      <c r="J8" s="557"/>
      <c r="K8" s="569"/>
      <c r="L8" s="559"/>
      <c r="M8" s="558"/>
    </row>
    <row r="9" spans="1:13" s="285" customFormat="1" ht="21" customHeight="1" x14ac:dyDescent="0.25">
      <c r="A9" s="239" t="s">
        <v>88</v>
      </c>
      <c r="B9" s="241">
        <f>'18'!D9</f>
        <v>6311527</v>
      </c>
      <c r="C9" s="328">
        <v>3065709</v>
      </c>
      <c r="D9" s="328">
        <v>0</v>
      </c>
      <c r="E9" s="329">
        <f>SUM(C9:D9)</f>
        <v>3065709</v>
      </c>
      <c r="F9" s="241">
        <v>0</v>
      </c>
      <c r="G9" s="241">
        <f t="shared" si="0"/>
        <v>3065709</v>
      </c>
      <c r="H9" s="501">
        <f t="shared" si="1"/>
        <v>485.73174130444187</v>
      </c>
      <c r="I9" s="556"/>
      <c r="J9" s="557"/>
      <c r="K9" s="558"/>
      <c r="L9" s="559"/>
      <c r="M9" s="558"/>
    </row>
    <row r="10" spans="1:13" s="285" customFormat="1" ht="21" customHeight="1" x14ac:dyDescent="0.25">
      <c r="A10" s="239" t="s">
        <v>79</v>
      </c>
      <c r="B10" s="241">
        <f>'18'!D10</f>
        <v>2247098</v>
      </c>
      <c r="C10" s="328">
        <v>302176.02</v>
      </c>
      <c r="D10" s="328">
        <v>201450.68</v>
      </c>
      <c r="E10" s="329">
        <v>503626.7</v>
      </c>
      <c r="F10" s="241">
        <v>0</v>
      </c>
      <c r="G10" s="241">
        <f t="shared" si="0"/>
        <v>503626.7</v>
      </c>
      <c r="H10" s="501">
        <f t="shared" si="1"/>
        <v>224.12315795750786</v>
      </c>
      <c r="I10" s="556"/>
      <c r="J10" s="557"/>
      <c r="K10" s="569"/>
      <c r="L10" s="559"/>
      <c r="M10" s="558"/>
    </row>
    <row r="11" spans="1:13" s="285" customFormat="1" ht="21.75" customHeight="1" x14ac:dyDescent="0.25">
      <c r="A11" s="239" t="s">
        <v>81</v>
      </c>
      <c r="B11" s="241">
        <v>2174783</v>
      </c>
      <c r="C11" s="328">
        <v>443359.52</v>
      </c>
      <c r="D11" s="328">
        <v>271736.48</v>
      </c>
      <c r="E11" s="329">
        <v>715096</v>
      </c>
      <c r="F11" s="241">
        <v>0</v>
      </c>
      <c r="G11" s="241">
        <f t="shared" si="0"/>
        <v>715096</v>
      </c>
      <c r="H11" s="501">
        <f t="shared" si="1"/>
        <v>328.81257578342297</v>
      </c>
      <c r="I11" s="556"/>
      <c r="J11" s="558"/>
      <c r="K11" s="558"/>
      <c r="L11" s="559"/>
      <c r="M11" s="558"/>
    </row>
    <row r="12" spans="1:13" s="285" customFormat="1" ht="21" customHeight="1" x14ac:dyDescent="0.25">
      <c r="A12" s="239" t="s">
        <v>73</v>
      </c>
      <c r="B12" s="241">
        <v>1283484</v>
      </c>
      <c r="C12" s="328">
        <v>256986</v>
      </c>
      <c r="D12" s="328">
        <v>171324</v>
      </c>
      <c r="E12" s="329">
        <v>428310</v>
      </c>
      <c r="F12" s="237">
        <v>0</v>
      </c>
      <c r="G12" s="237">
        <f t="shared" si="0"/>
        <v>428310</v>
      </c>
      <c r="H12" s="501">
        <f t="shared" si="1"/>
        <v>333.70887365950801</v>
      </c>
      <c r="I12" s="556"/>
      <c r="J12" s="557"/>
      <c r="K12" s="558"/>
      <c r="L12" s="559"/>
      <c r="M12" s="558"/>
    </row>
    <row r="13" spans="1:13" s="284" customFormat="1" ht="21" customHeight="1" x14ac:dyDescent="0.25">
      <c r="A13" s="239" t="s">
        <v>80</v>
      </c>
      <c r="B13" s="241">
        <f>'18'!D13</f>
        <v>1452007</v>
      </c>
      <c r="C13" s="328">
        <v>288787.68</v>
      </c>
      <c r="D13" s="328">
        <v>192525.12</v>
      </c>
      <c r="E13" s="329">
        <v>481312.80000000005</v>
      </c>
      <c r="F13" s="241">
        <v>120000</v>
      </c>
      <c r="G13" s="241">
        <f t="shared" si="0"/>
        <v>601312.80000000005</v>
      </c>
      <c r="H13" s="501">
        <f t="shared" si="1"/>
        <v>414.12527625555526</v>
      </c>
      <c r="I13" s="556"/>
      <c r="J13" s="558"/>
      <c r="K13" s="562"/>
      <c r="L13" s="559"/>
      <c r="M13" s="558"/>
    </row>
    <row r="14" spans="1:13" s="284" customFormat="1" ht="21" customHeight="1" x14ac:dyDescent="0.25">
      <c r="A14" s="239" t="s">
        <v>78</v>
      </c>
      <c r="B14" s="241">
        <f>'18'!D14</f>
        <v>1680015</v>
      </c>
      <c r="C14" s="328">
        <v>136361.18050000002</v>
      </c>
      <c r="D14" s="328">
        <v>67162.969500000007</v>
      </c>
      <c r="E14" s="329">
        <v>203524.15000000002</v>
      </c>
      <c r="F14" s="241">
        <v>115334</v>
      </c>
      <c r="G14" s="241">
        <f t="shared" si="0"/>
        <v>318858.15000000002</v>
      </c>
      <c r="H14" s="501">
        <f t="shared" si="1"/>
        <v>189.7948232605066</v>
      </c>
      <c r="I14" s="556"/>
      <c r="J14" s="558"/>
      <c r="K14" s="586"/>
      <c r="L14" s="559"/>
      <c r="M14" s="558"/>
    </row>
    <row r="15" spans="1:13" s="284" customFormat="1" ht="21" customHeight="1" x14ac:dyDescent="0.25">
      <c r="A15" s="239" t="s">
        <v>82</v>
      </c>
      <c r="B15" s="241">
        <v>1549788</v>
      </c>
      <c r="C15" s="328">
        <f>E15*73/100</f>
        <v>541700.88</v>
      </c>
      <c r="D15" s="328">
        <f>E15*27/100</f>
        <v>200355.12</v>
      </c>
      <c r="E15" s="329">
        <v>742056</v>
      </c>
      <c r="F15" s="241">
        <v>3000</v>
      </c>
      <c r="G15" s="241">
        <f t="shared" si="0"/>
        <v>745056</v>
      </c>
      <c r="H15" s="501">
        <f t="shared" si="1"/>
        <v>480.74704411183984</v>
      </c>
      <c r="I15" s="556"/>
      <c r="J15" s="558"/>
      <c r="K15" s="562"/>
      <c r="L15" s="559"/>
      <c r="M15" s="558"/>
    </row>
    <row r="16" spans="1:13" s="284" customFormat="1" ht="21" customHeight="1" x14ac:dyDescent="0.25">
      <c r="A16" s="239" t="s">
        <v>83</v>
      </c>
      <c r="B16" s="241">
        <f>'18'!D16</f>
        <v>1359642</v>
      </c>
      <c r="C16" s="328">
        <v>154708.20000000001</v>
      </c>
      <c r="D16" s="328">
        <v>103138.8</v>
      </c>
      <c r="E16" s="329">
        <v>257847</v>
      </c>
      <c r="F16" s="241">
        <v>20000</v>
      </c>
      <c r="G16" s="241">
        <f>SUM(E16:F16)</f>
        <v>277847</v>
      </c>
      <c r="H16" s="501">
        <f t="shared" ref="H16:H21" si="2">G16/B16*1000</f>
        <v>204.35305764311488</v>
      </c>
      <c r="I16" s="556"/>
      <c r="J16" s="558"/>
      <c r="K16" s="562"/>
      <c r="L16" s="559"/>
      <c r="M16" s="558"/>
    </row>
    <row r="17" spans="1:13" s="284" customFormat="1" ht="21" customHeight="1" x14ac:dyDescent="0.25">
      <c r="A17" s="239" t="s">
        <v>84</v>
      </c>
      <c r="B17" s="241">
        <f>'18'!D17</f>
        <v>857652</v>
      </c>
      <c r="C17" s="328">
        <v>141628.30499999999</v>
      </c>
      <c r="D17" s="328">
        <v>60697.845000000001</v>
      </c>
      <c r="E17" s="329">
        <f>SUM(C17:D17)</f>
        <v>202326.15</v>
      </c>
      <c r="F17" s="241">
        <v>0</v>
      </c>
      <c r="G17" s="241">
        <f>SUM(E17:F17)</f>
        <v>202326.15</v>
      </c>
      <c r="H17" s="501">
        <f t="shared" si="2"/>
        <v>235.90704621454856</v>
      </c>
      <c r="I17" s="556"/>
      <c r="J17" s="557"/>
      <c r="K17" s="582"/>
      <c r="L17" s="559"/>
      <c r="M17" s="558"/>
    </row>
    <row r="18" spans="1:13" s="284" customFormat="1" ht="21" customHeight="1" x14ac:dyDescent="0.25">
      <c r="A18" s="239" t="s">
        <v>85</v>
      </c>
      <c r="B18" s="241">
        <v>2206514</v>
      </c>
      <c r="C18" s="328">
        <v>458532.47199999995</v>
      </c>
      <c r="D18" s="328">
        <v>144799.728</v>
      </c>
      <c r="E18" s="329">
        <f>SUM(C18:D18)</f>
        <v>603332.19999999995</v>
      </c>
      <c r="F18" s="241">
        <v>1094</v>
      </c>
      <c r="G18" s="241">
        <f>SUM(E18:F18)</f>
        <v>604426.19999999995</v>
      </c>
      <c r="H18" s="501">
        <f t="shared" si="2"/>
        <v>273.92810560005512</v>
      </c>
      <c r="I18" s="556"/>
      <c r="J18" s="241"/>
      <c r="K18" s="582"/>
      <c r="L18" s="559"/>
      <c r="M18" s="558"/>
    </row>
    <row r="19" spans="1:13" s="284" customFormat="1" ht="21" customHeight="1" x14ac:dyDescent="0.25">
      <c r="A19" s="239" t="s">
        <v>86</v>
      </c>
      <c r="B19" s="241">
        <f>'18'!D19</f>
        <v>1171802</v>
      </c>
      <c r="C19" s="328">
        <v>484216.2</v>
      </c>
      <c r="D19" s="328">
        <v>260731.8</v>
      </c>
      <c r="E19" s="329">
        <f>SUM(C19:D19)</f>
        <v>744948</v>
      </c>
      <c r="F19" s="241">
        <v>195</v>
      </c>
      <c r="G19" s="241">
        <f>SUM(E19:F19)</f>
        <v>745143</v>
      </c>
      <c r="H19" s="501">
        <f t="shared" si="2"/>
        <v>635.89497201745689</v>
      </c>
      <c r="I19" s="556"/>
      <c r="J19" s="558"/>
      <c r="K19" s="562"/>
      <c r="L19" s="559"/>
      <c r="M19" s="558"/>
    </row>
    <row r="20" spans="1:13" s="284" customFormat="1" ht="21" customHeight="1" thickBot="1" x14ac:dyDescent="0.3">
      <c r="A20" s="242" t="s">
        <v>87</v>
      </c>
      <c r="B20" s="241">
        <f>'18'!D20</f>
        <v>3063059</v>
      </c>
      <c r="C20" s="328">
        <v>959414</v>
      </c>
      <c r="D20" s="328">
        <v>196506.64480000001</v>
      </c>
      <c r="E20" s="329">
        <f>SUM(C20:D20)</f>
        <v>1155920.6447999999</v>
      </c>
      <c r="F20" s="237">
        <v>0</v>
      </c>
      <c r="G20" s="237">
        <f>SUM(E20:F20)</f>
        <v>1155920.6447999999</v>
      </c>
      <c r="H20" s="501">
        <f t="shared" si="2"/>
        <v>377.37459343747537</v>
      </c>
      <c r="I20" s="556"/>
      <c r="J20" s="557"/>
      <c r="K20" s="595"/>
      <c r="L20" s="559"/>
      <c r="M20" s="558"/>
    </row>
    <row r="21" spans="1:13" s="232" customFormat="1" ht="21" customHeight="1" thickTop="1" thickBot="1" x14ac:dyDescent="0.3">
      <c r="A21" s="251" t="s">
        <v>309</v>
      </c>
      <c r="B21" s="289">
        <f t="shared" ref="B21:G21" si="3">SUM(B5:B20)</f>
        <v>34558451</v>
      </c>
      <c r="C21" s="254">
        <f t="shared" si="3"/>
        <v>9606165.6299999971</v>
      </c>
      <c r="D21" s="254">
        <f t="shared" si="3"/>
        <v>2709252.5648000003</v>
      </c>
      <c r="E21" s="254">
        <f t="shared" si="3"/>
        <v>12315418.194800001</v>
      </c>
      <c r="F21" s="254">
        <f t="shared" si="3"/>
        <v>305619</v>
      </c>
      <c r="G21" s="254">
        <f t="shared" si="3"/>
        <v>12621037.194800001</v>
      </c>
      <c r="H21" s="365">
        <f t="shared" si="2"/>
        <v>365.20841732171391</v>
      </c>
      <c r="I21" s="426"/>
      <c r="J21" s="427"/>
      <c r="K21" s="427"/>
      <c r="L21" s="443"/>
      <c r="M21" s="427"/>
    </row>
    <row r="22" spans="1:13" s="232" customFormat="1" ht="21" customHeight="1" thickTop="1" x14ac:dyDescent="0.2">
      <c r="A22" s="857" t="s">
        <v>267</v>
      </c>
      <c r="B22" s="857"/>
      <c r="C22" s="857"/>
      <c r="D22" s="857"/>
      <c r="E22" s="857"/>
      <c r="F22" s="248"/>
      <c r="G22" s="248"/>
      <c r="H22" s="234"/>
      <c r="I22" s="430"/>
      <c r="J22" s="427"/>
      <c r="K22" s="429"/>
      <c r="L22" s="429"/>
      <c r="M22" s="429"/>
    </row>
    <row r="23" spans="1:13" s="232" customFormat="1" ht="18" customHeight="1" x14ac:dyDescent="0.2">
      <c r="A23" s="844" t="s">
        <v>322</v>
      </c>
      <c r="B23" s="844"/>
      <c r="C23" s="844"/>
      <c r="D23" s="844"/>
      <c r="E23" s="844"/>
      <c r="F23" s="844"/>
      <c r="G23" s="234"/>
      <c r="I23" s="429"/>
      <c r="J23" s="429"/>
      <c r="K23" s="429"/>
      <c r="L23" s="429"/>
      <c r="M23" s="429"/>
    </row>
    <row r="24" spans="1:13" s="232" customFormat="1" ht="21" customHeight="1" x14ac:dyDescent="0.2">
      <c r="A24" s="827" t="s">
        <v>323</v>
      </c>
      <c r="B24" s="827"/>
      <c r="C24" s="827"/>
      <c r="D24" s="827"/>
      <c r="E24" s="827"/>
      <c r="F24" s="827"/>
      <c r="G24" s="494"/>
      <c r="H24" s="234"/>
      <c r="I24" s="429"/>
      <c r="J24" s="429"/>
      <c r="K24" s="429"/>
      <c r="L24" s="429"/>
      <c r="M24" s="429"/>
    </row>
    <row r="25" spans="1:13" s="232" customFormat="1" ht="21" customHeight="1" thickBot="1" x14ac:dyDescent="0.25">
      <c r="G25" s="495"/>
      <c r="H25" s="234"/>
      <c r="I25" s="429"/>
      <c r="J25" s="429"/>
      <c r="K25" s="429"/>
      <c r="L25" s="429"/>
      <c r="M25" s="429"/>
    </row>
    <row r="26" spans="1:13" ht="21" customHeight="1" x14ac:dyDescent="0.2">
      <c r="A26" s="823" t="s">
        <v>253</v>
      </c>
      <c r="B26" s="823"/>
      <c r="C26" s="823"/>
      <c r="D26" s="281"/>
      <c r="E26" s="281"/>
      <c r="F26" s="281"/>
      <c r="G26" s="281"/>
      <c r="H26" s="311">
        <v>33</v>
      </c>
      <c r="I26" s="431"/>
      <c r="J26" s="432"/>
      <c r="K26" s="425"/>
      <c r="L26" s="425"/>
      <c r="M26" s="425"/>
    </row>
    <row r="27" spans="1:13" x14ac:dyDescent="0.2">
      <c r="H27" s="280"/>
      <c r="I27" s="280"/>
    </row>
    <row r="28" spans="1:13" x14ac:dyDescent="0.2">
      <c r="H28" s="280"/>
      <c r="I28" s="280"/>
    </row>
    <row r="29" spans="1:13" x14ac:dyDescent="0.2">
      <c r="H29" s="280"/>
      <c r="I29" s="280"/>
    </row>
    <row r="30" spans="1:13" x14ac:dyDescent="0.2">
      <c r="C30" s="440"/>
      <c r="D30" s="440"/>
      <c r="E30" s="440"/>
      <c r="G30" s="440"/>
      <c r="H30" s="280"/>
      <c r="I30" s="280"/>
    </row>
    <row r="31" spans="1:13" ht="20.25" customHeight="1" x14ac:dyDescent="0.2">
      <c r="A31" s="571" t="s">
        <v>75</v>
      </c>
      <c r="B31" s="436">
        <v>1732767</v>
      </c>
      <c r="C31" s="440">
        <f>B31*70/100</f>
        <v>1212936.8999999999</v>
      </c>
      <c r="D31" s="440">
        <f>B31*30/100</f>
        <v>519830.1</v>
      </c>
      <c r="E31" s="440">
        <f>SUM(C31:D31)</f>
        <v>1732767</v>
      </c>
      <c r="G31" s="440"/>
      <c r="H31" s="280"/>
      <c r="I31" s="280"/>
    </row>
    <row r="32" spans="1:13" ht="20.25" customHeight="1" x14ac:dyDescent="0.2">
      <c r="A32" s="571" t="s">
        <v>76</v>
      </c>
      <c r="C32" s="440"/>
      <c r="D32" s="440"/>
      <c r="E32" s="440"/>
      <c r="G32" s="440"/>
      <c r="H32" s="280"/>
      <c r="I32" s="280"/>
    </row>
    <row r="33" spans="1:9" ht="20.25" customHeight="1" x14ac:dyDescent="0.2">
      <c r="A33" s="659" t="s">
        <v>77</v>
      </c>
      <c r="B33" s="667">
        <f>'17'!G6</f>
        <v>473924.95</v>
      </c>
      <c r="C33" s="440">
        <f>B33*75/100</f>
        <v>355443.71250000002</v>
      </c>
      <c r="D33" s="440">
        <f>B33*25/100</f>
        <v>118481.2375</v>
      </c>
      <c r="E33" s="440">
        <f>SUM(C33:D33)</f>
        <v>473924.95</v>
      </c>
      <c r="H33" s="280"/>
      <c r="I33" s="280"/>
    </row>
    <row r="34" spans="1:9" ht="20.25" customHeight="1" x14ac:dyDescent="0.2">
      <c r="A34" s="659" t="s">
        <v>330</v>
      </c>
      <c r="B34" s="561">
        <v>310322.59999999998</v>
      </c>
      <c r="C34" s="440">
        <f>B34*60/100</f>
        <v>186193.56</v>
      </c>
      <c r="D34" s="440">
        <f>B34*40/100</f>
        <v>124129.04</v>
      </c>
      <c r="E34" s="440">
        <f>SUM(C34:D34)</f>
        <v>310322.59999999998</v>
      </c>
      <c r="H34" s="280"/>
      <c r="I34" s="280"/>
    </row>
    <row r="35" spans="1:9" ht="20.25" customHeight="1" x14ac:dyDescent="0.2">
      <c r="A35" s="659" t="s">
        <v>88</v>
      </c>
      <c r="C35" s="440"/>
      <c r="D35" s="440"/>
      <c r="E35" s="440"/>
      <c r="H35" s="280"/>
      <c r="I35" s="280"/>
    </row>
    <row r="36" spans="1:9" ht="20.25" customHeight="1" x14ac:dyDescent="0.2">
      <c r="A36" s="659" t="s">
        <v>79</v>
      </c>
      <c r="B36" s="436">
        <v>503626.7</v>
      </c>
      <c r="C36" s="440">
        <f>B36*60/100</f>
        <v>302176.02</v>
      </c>
      <c r="D36" s="440">
        <f>B36*40/100</f>
        <v>201450.68</v>
      </c>
      <c r="E36" s="440">
        <f>SUM(C36:D36)</f>
        <v>503626.7</v>
      </c>
      <c r="H36" s="280"/>
      <c r="I36" s="280"/>
    </row>
    <row r="37" spans="1:9" ht="20.25" customHeight="1" x14ac:dyDescent="0.2">
      <c r="A37" s="659" t="s">
        <v>81</v>
      </c>
      <c r="B37" s="279">
        <v>715096</v>
      </c>
      <c r="C37" s="440">
        <f>B37*62/100</f>
        <v>443359.52</v>
      </c>
      <c r="D37" s="440">
        <f>B37*38/100</f>
        <v>271736.48</v>
      </c>
      <c r="E37" s="440">
        <f>SUM(C37:D37)</f>
        <v>715096</v>
      </c>
      <c r="H37" s="280"/>
      <c r="I37" s="280"/>
    </row>
    <row r="38" spans="1:9" ht="20.25" customHeight="1" x14ac:dyDescent="0.2">
      <c r="A38" s="659" t="s">
        <v>73</v>
      </c>
      <c r="B38" s="279">
        <v>428310</v>
      </c>
      <c r="C38" s="440">
        <f>B38*60/100</f>
        <v>256986</v>
      </c>
      <c r="D38" s="440">
        <f>B38*40/100</f>
        <v>171324</v>
      </c>
      <c r="E38" s="440">
        <f>SUM(C38:D38)</f>
        <v>428310</v>
      </c>
      <c r="H38" s="280"/>
      <c r="I38" s="280"/>
    </row>
    <row r="39" spans="1:9" ht="20.25" customHeight="1" x14ac:dyDescent="0.2">
      <c r="A39" s="659" t="s">
        <v>80</v>
      </c>
      <c r="B39" s="279">
        <v>481312.80000000005</v>
      </c>
      <c r="C39" s="440">
        <f>B39*60/100</f>
        <v>288787.68000000005</v>
      </c>
      <c r="D39" s="440">
        <f>B39*40/100</f>
        <v>192525.12</v>
      </c>
      <c r="E39" s="440">
        <f>SUM(C39:D39)</f>
        <v>481312.80000000005</v>
      </c>
      <c r="H39" s="280"/>
      <c r="I39" s="280"/>
    </row>
    <row r="40" spans="1:9" ht="20.25" customHeight="1" x14ac:dyDescent="0.2">
      <c r="A40" s="659" t="s">
        <v>78</v>
      </c>
      <c r="B40" s="279">
        <v>203524.15000000002</v>
      </c>
      <c r="C40" s="440">
        <f>B40*67/100</f>
        <v>136361.18050000002</v>
      </c>
      <c r="D40" s="440">
        <f>B40*33/100</f>
        <v>67162.969500000007</v>
      </c>
      <c r="E40" s="440">
        <f>SUM(C40:D40)</f>
        <v>203524.15000000002</v>
      </c>
      <c r="H40" s="280"/>
      <c r="I40" s="280"/>
    </row>
    <row r="41" spans="1:9" ht="20.25" customHeight="1" x14ac:dyDescent="0.2">
      <c r="A41" s="659" t="s">
        <v>82</v>
      </c>
      <c r="C41" s="440"/>
      <c r="D41" s="440"/>
      <c r="E41" s="440"/>
      <c r="H41" s="280"/>
      <c r="I41" s="280"/>
    </row>
    <row r="42" spans="1:9" ht="20.25" customHeight="1" x14ac:dyDescent="0.2">
      <c r="A42" s="659" t="s">
        <v>83</v>
      </c>
      <c r="B42" s="561">
        <v>257847</v>
      </c>
      <c r="C42" s="440">
        <f>B42*60/100</f>
        <v>154708.20000000001</v>
      </c>
      <c r="D42" s="440">
        <f>B42*40/100</f>
        <v>103138.8</v>
      </c>
      <c r="E42" s="440">
        <f>SUM(C42:D42)</f>
        <v>257847</v>
      </c>
      <c r="H42" s="280"/>
      <c r="I42" s="280"/>
    </row>
    <row r="43" spans="1:9" ht="20.25" customHeight="1" x14ac:dyDescent="0.2">
      <c r="A43" s="659" t="s">
        <v>84</v>
      </c>
      <c r="B43" s="667">
        <f>'17'!G16</f>
        <v>202326.15</v>
      </c>
      <c r="C43" s="440">
        <f>B43*70/100</f>
        <v>141628.30499999999</v>
      </c>
      <c r="D43" s="440">
        <f>B43*30/100</f>
        <v>60697.845000000001</v>
      </c>
      <c r="E43" s="440"/>
      <c r="H43" s="280"/>
      <c r="I43" s="280"/>
    </row>
    <row r="44" spans="1:9" ht="20.25" customHeight="1" x14ac:dyDescent="0.2">
      <c r="A44" s="659" t="s">
        <v>85</v>
      </c>
      <c r="B44" s="279">
        <v>603332.19999999995</v>
      </c>
      <c r="C44" s="440">
        <f>B44*76/100</f>
        <v>458532.47199999995</v>
      </c>
      <c r="D44" s="440">
        <f>B44*24/100</f>
        <v>144799.728</v>
      </c>
      <c r="E44" s="440">
        <f>SUM(C44:D44)</f>
        <v>603332.19999999995</v>
      </c>
      <c r="H44" s="280"/>
      <c r="I44" s="280"/>
    </row>
    <row r="45" spans="1:9" ht="20.25" customHeight="1" x14ac:dyDescent="0.2">
      <c r="A45" s="659" t="s">
        <v>86</v>
      </c>
      <c r="B45" s="279">
        <v>744948</v>
      </c>
      <c r="C45" s="440">
        <f>B45*65/100</f>
        <v>484216.2</v>
      </c>
      <c r="D45" s="440">
        <f>B45*35/100</f>
        <v>260731.8</v>
      </c>
      <c r="E45" s="440"/>
      <c r="H45" s="280"/>
      <c r="I45" s="280"/>
    </row>
    <row r="46" spans="1:9" ht="20.25" customHeight="1" x14ac:dyDescent="0.2">
      <c r="A46" s="242" t="s">
        <v>87</v>
      </c>
      <c r="B46" s="440">
        <v>1155921.44</v>
      </c>
      <c r="C46" s="440">
        <v>959414</v>
      </c>
      <c r="D46" s="440">
        <f>B46*C51/100</f>
        <v>462368.57599999994</v>
      </c>
      <c r="H46" s="280"/>
      <c r="I46" s="280"/>
    </row>
    <row r="47" spans="1:9" x14ac:dyDescent="0.2">
      <c r="H47" s="280"/>
      <c r="I47" s="280"/>
    </row>
    <row r="48" spans="1:9" x14ac:dyDescent="0.2">
      <c r="D48" s="440"/>
      <c r="H48" s="280"/>
      <c r="I48" s="280"/>
    </row>
    <row r="49" spans="3:9" x14ac:dyDescent="0.2">
      <c r="H49" s="280"/>
      <c r="I49" s="280"/>
    </row>
    <row r="50" spans="3:9" x14ac:dyDescent="0.2">
      <c r="C50" s="279">
        <v>60</v>
      </c>
      <c r="H50" s="280"/>
      <c r="I50" s="280"/>
    </row>
    <row r="51" spans="3:9" x14ac:dyDescent="0.2">
      <c r="C51" s="279">
        <v>40</v>
      </c>
      <c r="H51" s="280"/>
      <c r="I51" s="280"/>
    </row>
    <row r="52" spans="3:9" x14ac:dyDescent="0.2">
      <c r="H52" s="280"/>
      <c r="I52" s="280"/>
    </row>
  </sheetData>
  <mergeCells count="12">
    <mergeCell ref="A26:C26"/>
    <mergeCell ref="A1:H1"/>
    <mergeCell ref="A2:H2"/>
    <mergeCell ref="H3:H4"/>
    <mergeCell ref="B3:B4"/>
    <mergeCell ref="F3:F4"/>
    <mergeCell ref="G3:G4"/>
    <mergeCell ref="A22:E22"/>
    <mergeCell ref="A3:A4"/>
    <mergeCell ref="C3:E3"/>
    <mergeCell ref="A23:F23"/>
    <mergeCell ref="A24:F2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6"/>
  <sheetViews>
    <sheetView rightToLeft="1" view="pageBreakPreview" zoomScaleNormal="142" zoomScaleSheetLayoutView="100" workbookViewId="0">
      <selection activeCell="E9" sqref="E9"/>
    </sheetView>
  </sheetViews>
  <sheetFormatPr defaultColWidth="9.140625" defaultRowHeight="15" x14ac:dyDescent="0.25"/>
  <cols>
    <col min="1" max="1" width="5.42578125" style="1" customWidth="1"/>
    <col min="2" max="2" width="20" style="1" customWidth="1"/>
    <col min="3" max="3" width="24.28515625" style="1" customWidth="1"/>
    <col min="4" max="4" width="20" style="1" customWidth="1"/>
    <col min="5" max="5" width="25.28515625" style="1" customWidth="1"/>
    <col min="6" max="6" width="9.140625" style="1"/>
    <col min="7" max="7" width="9.28515625" style="1" bestFit="1" customWidth="1"/>
    <col min="8" max="8" width="18" style="1" bestFit="1" customWidth="1"/>
    <col min="9" max="9" width="11" style="1" bestFit="1" customWidth="1"/>
    <col min="10" max="16384" width="9.140625" style="1"/>
  </cols>
  <sheetData>
    <row r="1" spans="1:9" ht="26.25" customHeight="1" x14ac:dyDescent="0.25">
      <c r="B1" s="773" t="s">
        <v>439</v>
      </c>
      <c r="C1" s="773"/>
      <c r="D1" s="773"/>
      <c r="E1" s="773"/>
    </row>
    <row r="2" spans="1:9" ht="23.25" customHeight="1" thickBot="1" x14ac:dyDescent="0.3">
      <c r="B2" s="774" t="s">
        <v>379</v>
      </c>
      <c r="C2" s="774"/>
      <c r="D2" s="774"/>
      <c r="E2" s="774"/>
    </row>
    <row r="3" spans="1:9" ht="38.25" customHeight="1" thickTop="1" x14ac:dyDescent="0.25">
      <c r="A3" s="157"/>
      <c r="B3" s="166" t="s">
        <v>1</v>
      </c>
      <c r="C3" s="166" t="s">
        <v>361</v>
      </c>
      <c r="D3" s="166" t="s">
        <v>5</v>
      </c>
      <c r="E3" s="166" t="s">
        <v>435</v>
      </c>
    </row>
    <row r="4" spans="1:9" ht="29.25" customHeight="1" x14ac:dyDescent="0.25">
      <c r="B4" s="53" t="s">
        <v>6</v>
      </c>
      <c r="C4" s="55">
        <v>50.12</v>
      </c>
      <c r="D4" s="101">
        <v>32489972</v>
      </c>
      <c r="E4" s="55">
        <v>1542.6298305212451</v>
      </c>
      <c r="G4" s="4">
        <v>50.12</v>
      </c>
      <c r="H4" s="464">
        <f t="shared" ref="H4:H8" si="0">G4*1000000000</f>
        <v>50120000000</v>
      </c>
      <c r="I4" s="6">
        <f t="shared" ref="I4:I11" si="1">H4/D4</f>
        <v>1542.6298305212451</v>
      </c>
    </row>
    <row r="5" spans="1:9" ht="29.25" customHeight="1" x14ac:dyDescent="0.25">
      <c r="B5" s="53" t="s">
        <v>2</v>
      </c>
      <c r="C5" s="55">
        <v>47.57</v>
      </c>
      <c r="D5" s="101">
        <v>33338757</v>
      </c>
      <c r="E5" s="55">
        <v>1426.8678343346753</v>
      </c>
      <c r="G5" s="4">
        <v>47.57</v>
      </c>
      <c r="H5" s="464">
        <f t="shared" si="0"/>
        <v>47570000000</v>
      </c>
      <c r="I5" s="6">
        <f t="shared" si="1"/>
        <v>1426.8678343346753</v>
      </c>
    </row>
    <row r="6" spans="1:9" ht="29.25" customHeight="1" thickBot="1" x14ac:dyDescent="0.3">
      <c r="B6" s="53" t="s">
        <v>3</v>
      </c>
      <c r="C6" s="55">
        <v>49.11</v>
      </c>
      <c r="D6" s="101">
        <v>34207248</v>
      </c>
      <c r="E6" s="55">
        <v>1435.6606529703881</v>
      </c>
      <c r="G6" s="5">
        <v>49.11</v>
      </c>
      <c r="H6" s="464">
        <f t="shared" si="0"/>
        <v>49110000000</v>
      </c>
      <c r="I6" s="6">
        <f t="shared" si="1"/>
        <v>1435.6606529703881</v>
      </c>
    </row>
    <row r="7" spans="1:9" ht="29.25" customHeight="1" thickTop="1" x14ac:dyDescent="0.25">
      <c r="B7" s="53" t="s">
        <v>205</v>
      </c>
      <c r="C7" s="55">
        <v>56.02</v>
      </c>
      <c r="D7" s="101">
        <v>35095772</v>
      </c>
      <c r="E7" s="55">
        <v>1596.2034406589717</v>
      </c>
      <c r="G7" s="48">
        <v>56.02</v>
      </c>
      <c r="H7" s="464">
        <f t="shared" si="0"/>
        <v>56020000000</v>
      </c>
      <c r="I7" s="6">
        <f t="shared" si="1"/>
        <v>1596.2036680657716</v>
      </c>
    </row>
    <row r="8" spans="1:9" ht="29.25" customHeight="1" x14ac:dyDescent="0.25">
      <c r="B8" s="53" t="s">
        <v>229</v>
      </c>
      <c r="C8" s="55">
        <v>37.25</v>
      </c>
      <c r="D8" s="101">
        <v>36004552</v>
      </c>
      <c r="E8" s="55">
        <v>1034.5913464169005</v>
      </c>
      <c r="G8" s="48">
        <v>37.25</v>
      </c>
      <c r="H8" s="464">
        <f t="shared" si="0"/>
        <v>37250000000</v>
      </c>
      <c r="I8" s="6">
        <f t="shared" si="1"/>
        <v>1034.5914038869307</v>
      </c>
    </row>
    <row r="9" spans="1:9" ht="29.25" customHeight="1" thickBot="1" x14ac:dyDescent="0.3">
      <c r="B9" s="53" t="s">
        <v>236</v>
      </c>
      <c r="C9" s="55">
        <v>35.340000000000003</v>
      </c>
      <c r="D9" s="101">
        <v>35212600</v>
      </c>
      <c r="E9" s="55">
        <v>1003.62</v>
      </c>
      <c r="G9" s="56">
        <v>35.340000000000003</v>
      </c>
      <c r="H9" s="387">
        <f t="shared" ref="H9:H14" si="2">G9*1000000000</f>
        <v>35340000000</v>
      </c>
      <c r="I9" s="6">
        <f t="shared" si="1"/>
        <v>1003.6180230940062</v>
      </c>
    </row>
    <row r="10" spans="1:9" ht="29.25" customHeight="1" thickTop="1" thickBot="1" x14ac:dyDescent="0.3">
      <c r="B10" s="53" t="s">
        <v>310</v>
      </c>
      <c r="C10" s="55">
        <v>54.75</v>
      </c>
      <c r="D10" s="101">
        <v>36169123</v>
      </c>
      <c r="E10" s="55">
        <f>I10</f>
        <v>1513.7220772535734</v>
      </c>
      <c r="G10" s="56">
        <v>54.75</v>
      </c>
      <c r="H10" s="102">
        <f t="shared" si="2"/>
        <v>54750000000</v>
      </c>
      <c r="I10" s="6">
        <f t="shared" si="1"/>
        <v>1513.7220772535734</v>
      </c>
    </row>
    <row r="11" spans="1:9" ht="29.25" customHeight="1" thickTop="1" thickBot="1" x14ac:dyDescent="0.3">
      <c r="B11" s="53" t="s">
        <v>337</v>
      </c>
      <c r="C11" s="55">
        <v>40.69</v>
      </c>
      <c r="D11" s="101">
        <v>37139519</v>
      </c>
      <c r="E11" s="55">
        <f>I11</f>
        <v>1095.5984648051042</v>
      </c>
      <c r="G11" s="56">
        <v>40.69</v>
      </c>
      <c r="H11" s="102">
        <f t="shared" si="2"/>
        <v>40690000000</v>
      </c>
      <c r="I11" s="56">
        <f t="shared" si="1"/>
        <v>1095.5984648051042</v>
      </c>
    </row>
    <row r="12" spans="1:9" ht="29.25" customHeight="1" thickTop="1" thickBot="1" x14ac:dyDescent="0.3">
      <c r="B12" s="53" t="s">
        <v>362</v>
      </c>
      <c r="C12" s="55">
        <v>33.200000000000003</v>
      </c>
      <c r="D12" s="101">
        <v>38124182</v>
      </c>
      <c r="E12" s="55">
        <f>I12</f>
        <v>870.83835661051046</v>
      </c>
      <c r="G12" s="56">
        <v>33.200000000000003</v>
      </c>
      <c r="H12" s="102">
        <f t="shared" si="2"/>
        <v>33200000000.000004</v>
      </c>
      <c r="I12" s="56">
        <f>H12/D12</f>
        <v>870.83835661051046</v>
      </c>
    </row>
    <row r="13" spans="1:9" ht="29.25" customHeight="1" thickTop="1" thickBot="1" x14ac:dyDescent="0.3">
      <c r="B13" s="53" t="s">
        <v>402</v>
      </c>
      <c r="C13" s="55">
        <v>93.51</v>
      </c>
      <c r="D13" s="101">
        <v>39127889</v>
      </c>
      <c r="E13" s="55">
        <v>2389.8426005042102</v>
      </c>
      <c r="G13" s="56">
        <v>93.509495999999999</v>
      </c>
      <c r="H13" s="102">
        <f t="shared" si="2"/>
        <v>93509496000</v>
      </c>
      <c r="I13" s="56">
        <f>H13/D13</f>
        <v>2389.8426005042083</v>
      </c>
    </row>
    <row r="14" spans="1:9" ht="29.25" customHeight="1" thickTop="1" thickBot="1" x14ac:dyDescent="0.3">
      <c r="B14" s="54" t="s">
        <v>438</v>
      </c>
      <c r="C14" s="56">
        <v>49.669199999999996</v>
      </c>
      <c r="D14" s="102">
        <v>40150174</v>
      </c>
      <c r="E14" s="56">
        <v>1237.0855478733417</v>
      </c>
      <c r="G14" s="56">
        <v>49.669199999999996</v>
      </c>
      <c r="H14" s="102">
        <f t="shared" si="2"/>
        <v>49669200000</v>
      </c>
      <c r="I14" s="56">
        <f>H14/D14</f>
        <v>1237.0855478733417</v>
      </c>
    </row>
    <row r="15" spans="1:9" ht="10.5" customHeight="1" thickTop="1" thickBot="1" x14ac:dyDescent="0.3">
      <c r="B15" s="106"/>
      <c r="C15" s="107"/>
      <c r="D15" s="108"/>
      <c r="E15" s="107"/>
      <c r="G15" s="56"/>
      <c r="H15" s="102"/>
      <c r="I15" s="56"/>
    </row>
    <row r="16" spans="1:9" ht="18.75" customHeight="1" thickTop="1" x14ac:dyDescent="0.25">
      <c r="B16" s="776" t="s">
        <v>476</v>
      </c>
      <c r="C16" s="776"/>
      <c r="D16" s="776"/>
      <c r="E16" s="724"/>
    </row>
    <row r="17" spans="2:5" ht="22.5" customHeight="1" x14ac:dyDescent="0.25">
      <c r="B17" s="724"/>
      <c r="C17" s="724"/>
      <c r="D17" s="724"/>
      <c r="E17" s="724"/>
    </row>
    <row r="18" spans="2:5" ht="24" customHeight="1" x14ac:dyDescent="0.25">
      <c r="B18" s="504"/>
      <c r="C18" s="504"/>
      <c r="D18" s="504"/>
      <c r="E18" s="504"/>
    </row>
    <row r="19" spans="2:5" ht="24" customHeight="1" x14ac:dyDescent="0.25">
      <c r="B19" s="775" t="s">
        <v>4</v>
      </c>
      <c r="C19" s="775"/>
      <c r="D19" s="775"/>
      <c r="E19" s="775"/>
    </row>
    <row r="20" spans="2:5" ht="24" customHeight="1" x14ac:dyDescent="0.25">
      <c r="B20" s="763" t="s">
        <v>228</v>
      </c>
      <c r="C20" s="763"/>
      <c r="D20" s="103"/>
      <c r="E20" s="230">
        <v>16</v>
      </c>
    </row>
    <row r="21" spans="2:5" ht="24" customHeight="1" x14ac:dyDescent="0.25"/>
    <row r="22" spans="2:5" ht="24" customHeight="1" x14ac:dyDescent="0.25"/>
    <row r="23" spans="2:5" ht="24" customHeight="1" x14ac:dyDescent="0.25"/>
    <row r="24" spans="2:5" x14ac:dyDescent="0.25">
      <c r="E24" s="1">
        <f>E14/E13</f>
        <v>0.51764310654280776</v>
      </c>
    </row>
    <row r="25" spans="2:5" x14ac:dyDescent="0.25">
      <c r="E25" s="1">
        <f>E24-1</f>
        <v>-0.48235689345719224</v>
      </c>
    </row>
    <row r="26" spans="2:5" x14ac:dyDescent="0.25">
      <c r="E26" s="1">
        <f>E25*100</f>
        <v>-48.235689345719223</v>
      </c>
    </row>
  </sheetData>
  <mergeCells count="5">
    <mergeCell ref="B20:C20"/>
    <mergeCell ref="B1:E1"/>
    <mergeCell ref="B2:E2"/>
    <mergeCell ref="B19:E19"/>
    <mergeCell ref="B16:D16"/>
  </mergeCells>
  <printOptions horizontalCentered="1"/>
  <pageMargins left="0.45" right="0.45" top="0.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52"/>
  <sheetViews>
    <sheetView rightToLeft="1" view="pageBreakPreview" zoomScale="90" zoomScaleNormal="100" zoomScaleSheetLayoutView="90" workbookViewId="0">
      <selection activeCell="B1" sqref="B1:Q1"/>
    </sheetView>
  </sheetViews>
  <sheetFormatPr defaultColWidth="10.42578125" defaultRowHeight="14.25" x14ac:dyDescent="0.2"/>
  <cols>
    <col min="1" max="1" width="1.140625" style="279" customWidth="1"/>
    <col min="2" max="2" width="10.42578125" style="279" customWidth="1"/>
    <col min="3" max="5" width="11.5703125" style="279" customWidth="1"/>
    <col min="6" max="6" width="0.5703125" style="279" customWidth="1"/>
    <col min="7" max="8" width="11.5703125" style="279" customWidth="1"/>
    <col min="9" max="9" width="10.7109375" style="279" customWidth="1"/>
    <col min="10" max="10" width="0.7109375" style="279" customWidth="1"/>
    <col min="11" max="13" width="11.5703125" style="279" customWidth="1"/>
    <col min="14" max="14" width="1" style="279" customWidth="1"/>
    <col min="15" max="17" width="11.5703125" style="279" customWidth="1"/>
    <col min="18" max="18" width="14.5703125" style="279" bestFit="1" customWidth="1"/>
    <col min="19" max="19" width="12.7109375" style="279" bestFit="1" customWidth="1"/>
    <col min="20" max="20" width="14.7109375" style="279" customWidth="1"/>
    <col min="21" max="16384" width="10.42578125" style="279"/>
  </cols>
  <sheetData>
    <row r="1" spans="2:22" ht="29.25" customHeight="1" x14ac:dyDescent="0.2">
      <c r="B1" s="858" t="s">
        <v>454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</row>
    <row r="2" spans="2:22" ht="29.25" customHeight="1" thickBot="1" x14ac:dyDescent="0.25">
      <c r="B2" s="859" t="s">
        <v>421</v>
      </c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</row>
    <row r="3" spans="2:22" ht="42.75" customHeight="1" thickTop="1" x14ac:dyDescent="0.2">
      <c r="B3" s="860" t="s">
        <v>74</v>
      </c>
      <c r="C3" s="855" t="s">
        <v>369</v>
      </c>
      <c r="D3" s="855"/>
      <c r="E3" s="855"/>
      <c r="F3" s="497"/>
      <c r="G3" s="864" t="s">
        <v>367</v>
      </c>
      <c r="H3" s="864"/>
      <c r="I3" s="864"/>
      <c r="J3" s="537"/>
      <c r="K3" s="862" t="s">
        <v>265</v>
      </c>
      <c r="L3" s="862"/>
      <c r="M3" s="862"/>
      <c r="N3" s="497"/>
      <c r="O3" s="864" t="s">
        <v>368</v>
      </c>
      <c r="P3" s="864"/>
      <c r="Q3" s="864"/>
      <c r="R3" s="863" t="s">
        <v>327</v>
      </c>
      <c r="S3" s="863"/>
      <c r="T3" s="863"/>
    </row>
    <row r="4" spans="2:22" ht="25.5" customHeight="1" x14ac:dyDescent="0.2">
      <c r="B4" s="861"/>
      <c r="C4" s="278" t="s">
        <v>270</v>
      </c>
      <c r="D4" s="278" t="s">
        <v>90</v>
      </c>
      <c r="E4" s="278" t="s">
        <v>25</v>
      </c>
      <c r="F4" s="314"/>
      <c r="G4" s="278" t="s">
        <v>270</v>
      </c>
      <c r="H4" s="282" t="s">
        <v>90</v>
      </c>
      <c r="I4" s="283" t="s">
        <v>436</v>
      </c>
      <c r="J4" s="314"/>
      <c r="K4" s="278" t="s">
        <v>270</v>
      </c>
      <c r="L4" s="282" t="s">
        <v>90</v>
      </c>
      <c r="M4" s="283" t="s">
        <v>215</v>
      </c>
      <c r="N4" s="314"/>
      <c r="O4" s="278" t="s">
        <v>270</v>
      </c>
      <c r="P4" s="282" t="s">
        <v>90</v>
      </c>
      <c r="Q4" s="283" t="s">
        <v>436</v>
      </c>
      <c r="R4" s="279" t="s">
        <v>270</v>
      </c>
      <c r="S4" s="279" t="s">
        <v>90</v>
      </c>
      <c r="T4" s="279" t="s">
        <v>215</v>
      </c>
    </row>
    <row r="5" spans="2:22" s="646" customFormat="1" ht="21.75" customHeight="1" x14ac:dyDescent="0.2">
      <c r="B5" s="571" t="s">
        <v>75</v>
      </c>
      <c r="C5" s="241">
        <v>2382132</v>
      </c>
      <c r="D5" s="241">
        <v>1546083</v>
      </c>
      <c r="E5" s="241">
        <f>SUM(C5:D5)</f>
        <v>3928215</v>
      </c>
      <c r="F5" s="329"/>
      <c r="G5" s="501">
        <f>R5/C5*1000</f>
        <v>509.18122925177943</v>
      </c>
      <c r="H5" s="501">
        <f>S5/D5*1000</f>
        <v>336.22392846955825</v>
      </c>
      <c r="I5" s="501">
        <f>T5/E5*1000</f>
        <v>441.10798416074476</v>
      </c>
      <c r="J5" s="501"/>
      <c r="K5" s="241">
        <v>2310668.04</v>
      </c>
      <c r="L5" s="241">
        <v>1159562.25</v>
      </c>
      <c r="M5" s="241">
        <v>3470230.29</v>
      </c>
      <c r="N5" s="329"/>
      <c r="O5" s="501">
        <f>R5/K5*1000</f>
        <v>524.92910232142208</v>
      </c>
      <c r="P5" s="501">
        <f>S5/L5*1000</f>
        <v>448.29857129274433</v>
      </c>
      <c r="Q5" s="501">
        <f>T5/M5*1000</f>
        <v>499.32334605954924</v>
      </c>
      <c r="R5" s="241">
        <v>1212936.8999999999</v>
      </c>
      <c r="S5" s="241">
        <v>519830.1</v>
      </c>
      <c r="T5" s="568">
        <v>1732767</v>
      </c>
      <c r="U5" s="435"/>
      <c r="V5" s="435"/>
    </row>
    <row r="6" spans="2:22" s="285" customFormat="1" ht="21.75" customHeight="1" x14ac:dyDescent="0.25">
      <c r="B6" s="571" t="s">
        <v>76</v>
      </c>
      <c r="C6" s="241">
        <v>1243881</v>
      </c>
      <c r="D6" s="241">
        <v>438928</v>
      </c>
      <c r="E6" s="241">
        <f>SUM(C6:D6)</f>
        <v>1682809</v>
      </c>
      <c r="F6" s="329"/>
      <c r="G6" s="501">
        <f t="shared" ref="G6" si="0">R6/C6*1000</f>
        <v>496.84173968410164</v>
      </c>
      <c r="H6" s="501">
        <f t="shared" ref="H6" si="1">S6/D6*1000</f>
        <v>174.0217074326541</v>
      </c>
      <c r="I6" s="501">
        <f t="shared" ref="I6" si="2">T6/E6*1000</f>
        <v>412.64041254830465</v>
      </c>
      <c r="J6" s="501"/>
      <c r="K6" s="241">
        <v>1169248.1399999999</v>
      </c>
      <c r="L6" s="241">
        <v>390645.92</v>
      </c>
      <c r="M6" s="241">
        <v>1559894.0599999998</v>
      </c>
      <c r="N6" s="329"/>
      <c r="O6" s="501">
        <f t="shared" ref="O6" si="3">R6/K6*1000</f>
        <v>528.55504221712943</v>
      </c>
      <c r="P6" s="501">
        <f t="shared" ref="P6" si="4">S6/L6*1000</f>
        <v>195.53000835129674</v>
      </c>
      <c r="Q6" s="501">
        <f t="shared" ref="Q6" si="5">T6/M6*1000</f>
        <v>445.15523060585286</v>
      </c>
      <c r="R6" s="556">
        <v>618012</v>
      </c>
      <c r="S6" s="557">
        <v>76383</v>
      </c>
      <c r="T6" s="569">
        <v>694395</v>
      </c>
    </row>
    <row r="7" spans="2:22" s="285" customFormat="1" ht="21.75" customHeight="1" x14ac:dyDescent="0.25">
      <c r="B7" s="239" t="s">
        <v>77</v>
      </c>
      <c r="C7" s="241">
        <v>848350</v>
      </c>
      <c r="D7" s="241">
        <v>875888</v>
      </c>
      <c r="E7" s="241">
        <v>1724238</v>
      </c>
      <c r="F7" s="329"/>
      <c r="G7" s="501">
        <f t="shared" ref="G7:I8" si="6">R7/C7*1000</f>
        <v>418.98239229091769</v>
      </c>
      <c r="H7" s="501">
        <f t="shared" si="6"/>
        <v>135.26984899895876</v>
      </c>
      <c r="I7" s="501">
        <f t="shared" si="6"/>
        <v>274.86051809552976</v>
      </c>
      <c r="J7" s="501"/>
      <c r="K7" s="241">
        <v>848350</v>
      </c>
      <c r="L7" s="241">
        <v>700710.40000000002</v>
      </c>
      <c r="M7" s="241">
        <v>1549060.4</v>
      </c>
      <c r="N7" s="329"/>
      <c r="O7" s="501">
        <f t="shared" ref="O7:Q8" si="7">R7/K7*1000</f>
        <v>418.98239229091769</v>
      </c>
      <c r="P7" s="501">
        <f t="shared" si="7"/>
        <v>169.08731124869846</v>
      </c>
      <c r="Q7" s="501">
        <f t="shared" si="7"/>
        <v>305.94349322983152</v>
      </c>
      <c r="R7" s="556">
        <v>355443.71250000002</v>
      </c>
      <c r="S7" s="557">
        <v>118481.2375</v>
      </c>
      <c r="T7" s="569">
        <v>473924.95</v>
      </c>
    </row>
    <row r="8" spans="2:22" s="285" customFormat="1" ht="21.75" customHeight="1" x14ac:dyDescent="0.2">
      <c r="B8" s="239" t="s">
        <v>330</v>
      </c>
      <c r="C8" s="241">
        <v>933217</v>
      </c>
      <c r="D8" s="241">
        <v>932601</v>
      </c>
      <c r="E8" s="241">
        <f>SUM(C8:D8)</f>
        <v>1865818</v>
      </c>
      <c r="F8" s="329"/>
      <c r="G8" s="501">
        <f t="shared" si="6"/>
        <v>199.51796848964389</v>
      </c>
      <c r="H8" s="501">
        <f t="shared" si="6"/>
        <v>133.09983583547518</v>
      </c>
      <c r="I8" s="501">
        <f t="shared" si="6"/>
        <v>166.31986613914111</v>
      </c>
      <c r="J8" s="501"/>
      <c r="K8" s="241">
        <v>737241.43</v>
      </c>
      <c r="L8" s="241">
        <v>652820.69999999995</v>
      </c>
      <c r="M8" s="241">
        <v>1390062.13</v>
      </c>
      <c r="N8" s="329"/>
      <c r="O8" s="501">
        <f t="shared" si="7"/>
        <v>252.5543904932201</v>
      </c>
      <c r="P8" s="501">
        <f t="shared" si="7"/>
        <v>190.14262262210744</v>
      </c>
      <c r="Q8" s="501">
        <f t="shared" si="7"/>
        <v>223.24369055360137</v>
      </c>
      <c r="R8" s="328">
        <v>186193.56</v>
      </c>
      <c r="S8" s="328">
        <v>124129.04</v>
      </c>
      <c r="T8" s="568">
        <v>310322.59999999998</v>
      </c>
    </row>
    <row r="9" spans="2:22" s="285" customFormat="1" ht="21.75" customHeight="1" x14ac:dyDescent="0.2">
      <c r="B9" s="239" t="s">
        <v>88</v>
      </c>
      <c r="C9" s="241">
        <v>6311527</v>
      </c>
      <c r="D9" s="241">
        <v>0</v>
      </c>
      <c r="E9" s="241">
        <f>SUM(C9:D9)</f>
        <v>6311527</v>
      </c>
      <c r="F9" s="329"/>
      <c r="G9" s="501">
        <f>R9/C9*1000</f>
        <v>485.73174130444187</v>
      </c>
      <c r="H9" s="501">
        <v>0</v>
      </c>
      <c r="I9" s="501">
        <f>T9/E9*1000</f>
        <v>485.73174130444187</v>
      </c>
      <c r="J9" s="501"/>
      <c r="K9" s="241">
        <v>6311527</v>
      </c>
      <c r="L9" s="241">
        <v>0</v>
      </c>
      <c r="M9" s="241">
        <f>SUM(K9:L9)</f>
        <v>6311527</v>
      </c>
      <c r="N9" s="329"/>
      <c r="O9" s="501">
        <f>R9/K9*1000</f>
        <v>485.73174130444187</v>
      </c>
      <c r="P9" s="501">
        <v>0</v>
      </c>
      <c r="Q9" s="501">
        <f>T9/M9*1000</f>
        <v>485.73174130444187</v>
      </c>
      <c r="R9" s="328">
        <v>3065709</v>
      </c>
      <c r="S9" s="328">
        <v>0</v>
      </c>
      <c r="T9" s="329">
        <f>SUM(R9:S9)</f>
        <v>3065709</v>
      </c>
    </row>
    <row r="10" spans="2:22" s="285" customFormat="1" ht="21.75" customHeight="1" x14ac:dyDescent="0.25">
      <c r="B10" s="239" t="s">
        <v>79</v>
      </c>
      <c r="C10" s="241">
        <v>1176560</v>
      </c>
      <c r="D10" s="241">
        <v>1070538</v>
      </c>
      <c r="E10" s="241">
        <v>2247098</v>
      </c>
      <c r="F10" s="329"/>
      <c r="G10" s="501">
        <f t="shared" ref="G10" si="8">R10/C10*1000</f>
        <v>256.8300979125587</v>
      </c>
      <c r="H10" s="501">
        <f t="shared" ref="H10" si="9">S10/D10*1000</f>
        <v>188.17704742848923</v>
      </c>
      <c r="I10" s="501">
        <f t="shared" ref="I10" si="10">T10/E10*1000</f>
        <v>224.12315795750786</v>
      </c>
      <c r="J10" s="501"/>
      <c r="K10" s="241">
        <v>705936</v>
      </c>
      <c r="L10" s="241">
        <v>428215.2</v>
      </c>
      <c r="M10" s="241">
        <v>1134151.2</v>
      </c>
      <c r="N10" s="329"/>
      <c r="O10" s="501">
        <f t="shared" ref="O10" si="11">R10/K10*1000</f>
        <v>428.05016318759778</v>
      </c>
      <c r="P10" s="501">
        <f t="shared" ref="P10" si="12">S10/L10*1000</f>
        <v>470.44261857122302</v>
      </c>
      <c r="Q10" s="501">
        <f t="shared" ref="Q10" si="13">T10/M10*1000</f>
        <v>444.05604825882125</v>
      </c>
      <c r="R10" s="556">
        <v>302176.02</v>
      </c>
      <c r="S10" s="557">
        <v>201450.68</v>
      </c>
      <c r="T10" s="569">
        <v>503626.7</v>
      </c>
    </row>
    <row r="11" spans="2:22" s="285" customFormat="1" ht="21.75" customHeight="1" x14ac:dyDescent="0.25">
      <c r="B11" s="239" t="s">
        <v>81</v>
      </c>
      <c r="C11" s="241">
        <v>1049856</v>
      </c>
      <c r="D11" s="241">
        <v>1124927</v>
      </c>
      <c r="E11" s="237">
        <v>2174783</v>
      </c>
      <c r="F11" s="329"/>
      <c r="G11" s="501">
        <f t="shared" ref="G11:G12" si="14">R11/C11*1000</f>
        <v>422.30507802974887</v>
      </c>
      <c r="H11" s="501">
        <f t="shared" ref="H11:H12" si="15">S11/D11*1000</f>
        <v>241.55921228666392</v>
      </c>
      <c r="I11" s="501">
        <f t="shared" ref="I11:I12" si="16">T11/E11*1000</f>
        <v>328.81257578342297</v>
      </c>
      <c r="J11" s="501"/>
      <c r="K11" s="241">
        <v>892377.59999999998</v>
      </c>
      <c r="L11" s="241">
        <v>618709.85</v>
      </c>
      <c r="M11" s="241">
        <v>1511088</v>
      </c>
      <c r="N11" s="329"/>
      <c r="O11" s="501">
        <f t="shared" ref="O11:O12" si="17">R11/K11*1000</f>
        <v>496.8295035644104</v>
      </c>
      <c r="P11" s="501">
        <f t="shared" ref="P11:P12" si="18">S11/L11*1000</f>
        <v>439.19856779393439</v>
      </c>
      <c r="Q11" s="501">
        <f t="shared" ref="Q11:Q12" si="19">T11/M11*1000</f>
        <v>473.23253179166267</v>
      </c>
      <c r="R11" s="556">
        <v>443359.52</v>
      </c>
      <c r="S11" s="558">
        <v>271736.48</v>
      </c>
      <c r="T11" s="558">
        <v>715096</v>
      </c>
    </row>
    <row r="12" spans="2:22" s="285" customFormat="1" ht="21.75" customHeight="1" x14ac:dyDescent="0.25">
      <c r="B12" s="239" t="s">
        <v>73</v>
      </c>
      <c r="C12" s="241">
        <v>858171</v>
      </c>
      <c r="D12" s="241">
        <v>425313</v>
      </c>
      <c r="E12" s="237">
        <v>1283484</v>
      </c>
      <c r="F12" s="329"/>
      <c r="G12" s="501">
        <f t="shared" si="14"/>
        <v>299.45780036845804</v>
      </c>
      <c r="H12" s="501">
        <f t="shared" si="15"/>
        <v>402.81863004422627</v>
      </c>
      <c r="I12" s="501">
        <f t="shared" si="16"/>
        <v>333.70887365950801</v>
      </c>
      <c r="J12" s="501"/>
      <c r="K12" s="241">
        <v>832425.87</v>
      </c>
      <c r="L12" s="241">
        <v>370022.31</v>
      </c>
      <c r="M12" s="237">
        <v>1202448.18</v>
      </c>
      <c r="N12" s="329"/>
      <c r="O12" s="501">
        <f t="shared" si="17"/>
        <v>308.71938182315262</v>
      </c>
      <c r="P12" s="501">
        <f t="shared" si="18"/>
        <v>463.00991959106466</v>
      </c>
      <c r="Q12" s="501">
        <f t="shared" si="19"/>
        <v>356.19830203410515</v>
      </c>
      <c r="R12" s="556">
        <v>256986</v>
      </c>
      <c r="S12" s="557">
        <v>171324</v>
      </c>
      <c r="T12" s="558">
        <v>428310</v>
      </c>
    </row>
    <row r="13" spans="2:22" s="284" customFormat="1" ht="21.75" customHeight="1" x14ac:dyDescent="0.25">
      <c r="B13" s="239" t="s">
        <v>80</v>
      </c>
      <c r="C13" s="241">
        <v>873884</v>
      </c>
      <c r="D13" s="241">
        <v>578123</v>
      </c>
      <c r="E13" s="241">
        <v>1452007</v>
      </c>
      <c r="F13" s="329"/>
      <c r="G13" s="501">
        <f t="shared" ref="G13:I14" si="20">R13/C13*1000</f>
        <v>330.46454678195283</v>
      </c>
      <c r="H13" s="501">
        <f t="shared" si="20"/>
        <v>333.0175758445867</v>
      </c>
      <c r="I13" s="501">
        <f t="shared" si="20"/>
        <v>331.48104657897659</v>
      </c>
      <c r="J13" s="501"/>
      <c r="K13" s="241">
        <v>873884</v>
      </c>
      <c r="L13" s="241">
        <v>462498.4</v>
      </c>
      <c r="M13" s="241">
        <v>1336382.3999999999</v>
      </c>
      <c r="N13" s="329"/>
      <c r="O13" s="501">
        <f t="shared" ref="O13:Q14" si="21">R13/K13*1000</f>
        <v>330.46454678195283</v>
      </c>
      <c r="P13" s="501">
        <f t="shared" si="21"/>
        <v>416.27196980573331</v>
      </c>
      <c r="Q13" s="501">
        <f t="shared" si="21"/>
        <v>360.16098386210422</v>
      </c>
      <c r="R13" s="556">
        <v>288787.68000000005</v>
      </c>
      <c r="S13" s="558">
        <v>192525.12</v>
      </c>
      <c r="T13" s="562">
        <v>481312.80000000005</v>
      </c>
    </row>
    <row r="14" spans="2:22" s="284" customFormat="1" ht="21.75" customHeight="1" x14ac:dyDescent="0.25">
      <c r="B14" s="239" t="s">
        <v>78</v>
      </c>
      <c r="C14" s="241">
        <v>757567</v>
      </c>
      <c r="D14" s="241">
        <v>922448</v>
      </c>
      <c r="E14" s="241">
        <v>1680015</v>
      </c>
      <c r="G14" s="501">
        <f t="shared" si="20"/>
        <v>179.99883904657941</v>
      </c>
      <c r="H14" s="501">
        <f t="shared" si="20"/>
        <v>72.8094911583092</v>
      </c>
      <c r="I14" s="501">
        <f t="shared" si="20"/>
        <v>121.14424573590118</v>
      </c>
      <c r="J14" s="501"/>
      <c r="K14" s="241">
        <v>606053.6</v>
      </c>
      <c r="L14" s="241">
        <v>451999</v>
      </c>
      <c r="M14" s="241">
        <v>1058052.6000000001</v>
      </c>
      <c r="O14" s="501">
        <f t="shared" si="21"/>
        <v>224.99854880822426</v>
      </c>
      <c r="P14" s="501">
        <f t="shared" si="21"/>
        <v>148.59096922780805</v>
      </c>
      <c r="Q14" s="501">
        <f t="shared" si="21"/>
        <v>192.35730813383003</v>
      </c>
      <c r="R14" s="556">
        <v>136361.18050000002</v>
      </c>
      <c r="S14" s="558">
        <v>67162.969500000007</v>
      </c>
      <c r="T14" s="586">
        <v>203524.15000000002</v>
      </c>
    </row>
    <row r="15" spans="2:22" s="284" customFormat="1" ht="21.75" customHeight="1" x14ac:dyDescent="0.25">
      <c r="B15" s="239" t="s">
        <v>82</v>
      </c>
      <c r="C15" s="241">
        <v>1106811</v>
      </c>
      <c r="D15" s="241">
        <v>442977</v>
      </c>
      <c r="E15" s="241">
        <v>1549788</v>
      </c>
      <c r="F15" s="329"/>
      <c r="G15" s="501">
        <f t="shared" ref="G15" si="22">R15/C15*1000</f>
        <v>489.4249153649539</v>
      </c>
      <c r="H15" s="501">
        <f t="shared" ref="H15" si="23">S15/D15*1000</f>
        <v>452.29237635362557</v>
      </c>
      <c r="I15" s="501">
        <f t="shared" ref="I15" si="24">T15/E15*1000</f>
        <v>478.81129548041412</v>
      </c>
      <c r="J15" s="501"/>
      <c r="K15" s="241">
        <v>1084674.78</v>
      </c>
      <c r="L15" s="241">
        <v>416398.38</v>
      </c>
      <c r="M15" s="241">
        <v>1501073.1600000001</v>
      </c>
      <c r="N15" s="329"/>
      <c r="O15" s="501">
        <f t="shared" ref="O15" si="25">R15/K15*1000</f>
        <v>499.41317894383053</v>
      </c>
      <c r="P15" s="501">
        <f t="shared" ref="P15" si="26">S15/L15*1000</f>
        <v>481.162102503857</v>
      </c>
      <c r="Q15" s="501">
        <f t="shared" ref="Q15" si="27">T15/M15*1000</f>
        <v>494.35032200562421</v>
      </c>
      <c r="R15" s="556">
        <v>541700.88</v>
      </c>
      <c r="S15" s="558">
        <v>200355.12</v>
      </c>
      <c r="T15" s="562">
        <v>742056</v>
      </c>
    </row>
    <row r="16" spans="2:22" s="284" customFormat="1" ht="21.75" customHeight="1" x14ac:dyDescent="0.2">
      <c r="B16" s="239" t="s">
        <v>83</v>
      </c>
      <c r="C16" s="241">
        <v>778901</v>
      </c>
      <c r="D16" s="241">
        <v>580741</v>
      </c>
      <c r="E16" s="241">
        <v>1359642</v>
      </c>
      <c r="F16" s="329"/>
      <c r="G16" s="501">
        <f t="shared" ref="G16:I17" si="28">R16/C16*1000</f>
        <v>198.62370185684702</v>
      </c>
      <c r="H16" s="501">
        <f t="shared" si="28"/>
        <v>177.59861969449375</v>
      </c>
      <c r="I16" s="501">
        <f t="shared" si="28"/>
        <v>189.64330316362691</v>
      </c>
      <c r="J16" s="501"/>
      <c r="K16" s="241">
        <v>638698.81999999995</v>
      </c>
      <c r="L16" s="241">
        <v>365866.83</v>
      </c>
      <c r="M16" s="241">
        <v>1004565.6499999999</v>
      </c>
      <c r="N16" s="329"/>
      <c r="O16" s="501">
        <f t="shared" ref="O16:Q17" si="29">R16/K16*1000</f>
        <v>242.22402665469153</v>
      </c>
      <c r="P16" s="501">
        <f t="shared" si="29"/>
        <v>281.90257094364091</v>
      </c>
      <c r="Q16" s="501">
        <f t="shared" si="29"/>
        <v>256.67511127819273</v>
      </c>
      <c r="R16" s="328">
        <v>154708.20000000001</v>
      </c>
      <c r="S16" s="328">
        <v>103138.8</v>
      </c>
      <c r="T16" s="329">
        <v>257847</v>
      </c>
    </row>
    <row r="17" spans="1:20" s="284" customFormat="1" ht="21.75" customHeight="1" x14ac:dyDescent="0.2">
      <c r="B17" s="239" t="s">
        <v>84</v>
      </c>
      <c r="C17" s="241">
        <v>398334</v>
      </c>
      <c r="D17" s="241">
        <v>459318</v>
      </c>
      <c r="E17" s="241">
        <v>857652</v>
      </c>
      <c r="F17" s="329"/>
      <c r="G17" s="501">
        <f t="shared" si="28"/>
        <v>355.55163506002498</v>
      </c>
      <c r="H17" s="501">
        <f t="shared" si="28"/>
        <v>132.14776037516492</v>
      </c>
      <c r="I17" s="501">
        <f t="shared" si="28"/>
        <v>235.90704621454856</v>
      </c>
      <c r="J17" s="501"/>
      <c r="K17" s="241">
        <v>338583.9</v>
      </c>
      <c r="L17" s="241">
        <v>298556.7</v>
      </c>
      <c r="M17" s="241">
        <v>637140.60000000009</v>
      </c>
      <c r="N17" s="329"/>
      <c r="O17" s="501">
        <f t="shared" si="29"/>
        <v>418.29604124708817</v>
      </c>
      <c r="P17" s="501">
        <f t="shared" si="29"/>
        <v>203.30424673102297</v>
      </c>
      <c r="Q17" s="501">
        <f t="shared" si="29"/>
        <v>317.55337832811153</v>
      </c>
      <c r="R17" s="328">
        <v>141628.30499999999</v>
      </c>
      <c r="S17" s="328">
        <v>60697.845000000001</v>
      </c>
      <c r="T17" s="329">
        <v>202326.15</v>
      </c>
    </row>
    <row r="18" spans="1:20" s="284" customFormat="1" ht="21.75" customHeight="1" x14ac:dyDescent="0.25">
      <c r="B18" s="239" t="s">
        <v>85</v>
      </c>
      <c r="C18" s="241">
        <v>1416271</v>
      </c>
      <c r="D18" s="241">
        <v>790243</v>
      </c>
      <c r="E18" s="241">
        <v>2206514</v>
      </c>
      <c r="F18" s="329"/>
      <c r="G18" s="501">
        <f t="shared" ref="G18" si="30">R18/C18*1000</f>
        <v>323.76040461182919</v>
      </c>
      <c r="H18" s="501">
        <f t="shared" ref="H18" si="31">S18/D18*1000</f>
        <v>183.23443295290184</v>
      </c>
      <c r="I18" s="501">
        <f t="shared" ref="I18" si="32">T18/E18*1000</f>
        <v>273.43230090541005</v>
      </c>
      <c r="J18" s="501"/>
      <c r="K18" s="241">
        <v>1175504.93</v>
      </c>
      <c r="L18" s="241">
        <v>197560.75</v>
      </c>
      <c r="M18" s="241">
        <v>1373065.68</v>
      </c>
      <c r="N18" s="329"/>
      <c r="O18" s="501">
        <f t="shared" ref="O18" si="33">R18/K18*1000</f>
        <v>390.07277664075809</v>
      </c>
      <c r="P18" s="501">
        <f t="shared" ref="P18" si="34">S18/L18*1000</f>
        <v>732.93773181160736</v>
      </c>
      <c r="Q18" s="501">
        <f t="shared" ref="Q18" si="35">T18/M18*1000</f>
        <v>439.405200194065</v>
      </c>
      <c r="R18" s="556">
        <v>458532.47199999995</v>
      </c>
      <c r="S18" s="241">
        <v>144799.728</v>
      </c>
      <c r="T18" s="582">
        <v>603332.19999999995</v>
      </c>
    </row>
    <row r="19" spans="1:20" s="284" customFormat="1" ht="21.75" customHeight="1" x14ac:dyDescent="0.25">
      <c r="B19" s="239" t="s">
        <v>86</v>
      </c>
      <c r="C19" s="241">
        <f>'18'!B19</f>
        <v>865530</v>
      </c>
      <c r="D19" s="241">
        <f>'18'!C19</f>
        <v>306272</v>
      </c>
      <c r="E19" s="241">
        <f>'18'!D19</f>
        <v>1171802</v>
      </c>
      <c r="F19" s="329"/>
      <c r="G19" s="501">
        <f t="shared" ref="G19:I20" si="36">R19/C19*1000</f>
        <v>559.44473328480819</v>
      </c>
      <c r="H19" s="501">
        <f t="shared" si="36"/>
        <v>851.30798767108968</v>
      </c>
      <c r="I19" s="501">
        <f t="shared" si="36"/>
        <v>635.72856165120049</v>
      </c>
      <c r="J19" s="501"/>
      <c r="K19" s="241">
        <f>'18'!F19</f>
        <v>778977</v>
      </c>
      <c r="L19" s="241">
        <f>'18'!G19</f>
        <v>260331.2</v>
      </c>
      <c r="M19" s="241">
        <f>'18'!H19</f>
        <v>1039308.2</v>
      </c>
      <c r="N19" s="329"/>
      <c r="O19" s="501">
        <f t="shared" ref="O19:Q20" si="37">R19/K19*1000</f>
        <v>621.60525920534235</v>
      </c>
      <c r="P19" s="501">
        <f t="shared" si="37"/>
        <v>1001.5388090248114</v>
      </c>
      <c r="Q19" s="501">
        <f t="shared" si="37"/>
        <v>716.7729456959928</v>
      </c>
      <c r="R19" s="556">
        <v>484216.2</v>
      </c>
      <c r="S19" s="558">
        <v>260731.8</v>
      </c>
      <c r="T19" s="562">
        <v>744948</v>
      </c>
    </row>
    <row r="20" spans="1:20" s="284" customFormat="1" ht="21.75" customHeight="1" thickBot="1" x14ac:dyDescent="0.25">
      <c r="A20" s="596"/>
      <c r="B20" s="242" t="s">
        <v>87</v>
      </c>
      <c r="C20" s="237">
        <v>2487658</v>
      </c>
      <c r="D20" s="237">
        <v>575401</v>
      </c>
      <c r="E20" s="237">
        <f>SUM(C20:D20)</f>
        <v>3063059</v>
      </c>
      <c r="F20" s="329"/>
      <c r="G20" s="501">
        <f t="shared" si="36"/>
        <v>385.66957355070514</v>
      </c>
      <c r="H20" s="501">
        <f t="shared" si="36"/>
        <v>341.51251874779501</v>
      </c>
      <c r="I20" s="501">
        <f t="shared" si="36"/>
        <v>377.37459343747537</v>
      </c>
      <c r="J20" s="501"/>
      <c r="K20" s="241">
        <v>2238892.2000000002</v>
      </c>
      <c r="L20" s="241">
        <v>489090.85</v>
      </c>
      <c r="M20" s="241">
        <v>2727983.0500000003</v>
      </c>
      <c r="N20" s="329"/>
      <c r="O20" s="501">
        <f t="shared" si="37"/>
        <v>428.52174838967233</v>
      </c>
      <c r="P20" s="501">
        <f t="shared" si="37"/>
        <v>401.77943382093537</v>
      </c>
      <c r="Q20" s="501">
        <f t="shared" si="37"/>
        <v>423.72720930212517</v>
      </c>
      <c r="R20" s="328">
        <v>959414</v>
      </c>
      <c r="S20" s="328">
        <v>196506.64480000001</v>
      </c>
      <c r="T20" s="329">
        <f>SUM(R20:S20)</f>
        <v>1155920.6447999999</v>
      </c>
    </row>
    <row r="21" spans="1:20" s="232" customFormat="1" ht="21.75" customHeight="1" thickTop="1" thickBot="1" x14ac:dyDescent="0.3">
      <c r="B21" s="251" t="s">
        <v>309</v>
      </c>
      <c r="C21" s="254">
        <f>SUM(C5:C20)</f>
        <v>23488650</v>
      </c>
      <c r="D21" s="254">
        <f>SUM(D5:D20)</f>
        <v>11069801</v>
      </c>
      <c r="E21" s="254">
        <f>SUM(E5:E20)</f>
        <v>34558451</v>
      </c>
      <c r="F21" s="254"/>
      <c r="G21" s="365">
        <f t="shared" ref="G21" si="38">R21/C21*1000</f>
        <v>408.97052959620913</v>
      </c>
      <c r="H21" s="365">
        <f t="shared" ref="H21" si="39">S21/D21*1000</f>
        <v>244.74266202256032</v>
      </c>
      <c r="I21" s="365">
        <f t="shared" ref="I21" si="40">T21/E21*1000</f>
        <v>356.36487858787427</v>
      </c>
      <c r="J21" s="365"/>
      <c r="K21" s="254">
        <v>21543044</v>
      </c>
      <c r="L21" s="254">
        <f>SUM(L5:L20)</f>
        <v>7262988.7400000002</v>
      </c>
      <c r="M21" s="254">
        <f>SUM(M5:M20)</f>
        <v>28806032.599999998</v>
      </c>
      <c r="N21" s="254"/>
      <c r="O21" s="365">
        <f t="shared" ref="O21" si="41">R21/K21*1000</f>
        <v>445.90567748921632</v>
      </c>
      <c r="P21" s="365">
        <f t="shared" ref="P21" si="42">S21/L21*1000</f>
        <v>373.02172174371293</v>
      </c>
      <c r="Q21" s="365">
        <f t="shared" ref="Q21" si="43">T21/M21*1000</f>
        <v>427.52913481046335</v>
      </c>
      <c r="R21" s="426">
        <f>SUM(R5:R20)</f>
        <v>9606165.6299999971</v>
      </c>
      <c r="S21" s="427">
        <f>SUM(S5:S20)</f>
        <v>2709252.5648000003</v>
      </c>
      <c r="T21" s="427">
        <f>SUM(T5:T20)</f>
        <v>12315418.194800001</v>
      </c>
    </row>
    <row r="22" spans="1:20" s="232" customFormat="1" ht="21" customHeight="1" thickTop="1" thickBot="1" x14ac:dyDescent="0.25">
      <c r="B22" s="857" t="s">
        <v>267</v>
      </c>
      <c r="C22" s="857"/>
      <c r="D22" s="857"/>
      <c r="E22" s="857"/>
      <c r="F22" s="857"/>
      <c r="G22" s="857"/>
      <c r="H22" s="857"/>
      <c r="I22" s="857"/>
      <c r="J22" s="857"/>
      <c r="K22" s="857"/>
      <c r="L22" s="857"/>
      <c r="M22" s="857"/>
      <c r="N22" s="496"/>
      <c r="O22" s="248"/>
      <c r="P22" s="248"/>
      <c r="Q22" s="248"/>
      <c r="R22" s="254"/>
      <c r="S22" s="254"/>
      <c r="T22" s="254"/>
    </row>
    <row r="23" spans="1:20" s="232" customFormat="1" ht="18" customHeight="1" thickTop="1" x14ac:dyDescent="0.25">
      <c r="B23" s="845"/>
      <c r="C23" s="845"/>
      <c r="D23" s="845"/>
      <c r="E23" s="845"/>
      <c r="F23" s="845"/>
      <c r="G23" s="845"/>
      <c r="H23" s="845"/>
      <c r="I23" s="845"/>
      <c r="J23" s="845"/>
      <c r="K23" s="845"/>
      <c r="L23" s="845"/>
      <c r="M23" s="845"/>
      <c r="N23"/>
      <c r="O23" s="243"/>
      <c r="P23" s="235"/>
      <c r="Q23" s="234"/>
      <c r="R23" s="428"/>
      <c r="S23" s="428"/>
      <c r="T23" s="428"/>
    </row>
    <row r="24" spans="1:20" s="232" customFormat="1" ht="21" customHeight="1" x14ac:dyDescent="0.2">
      <c r="B24" s="844" t="s">
        <v>322</v>
      </c>
      <c r="C24" s="844"/>
      <c r="D24" s="844"/>
      <c r="E24" s="844"/>
      <c r="F24" s="844"/>
      <c r="G24" s="844"/>
      <c r="H24" s="844"/>
      <c r="I24" s="844"/>
      <c r="J24" s="844"/>
      <c r="K24" s="844"/>
      <c r="L24" s="844"/>
      <c r="M24" s="844"/>
      <c r="N24" s="844"/>
      <c r="O24" s="844"/>
      <c r="P24" s="844"/>
      <c r="Q24" s="844"/>
      <c r="R24" s="428"/>
      <c r="S24" s="428"/>
      <c r="T24" s="428"/>
    </row>
    <row r="25" spans="1:20" s="232" customFormat="1" ht="21" customHeight="1" thickBot="1" x14ac:dyDescent="0.25">
      <c r="B25" s="827" t="s">
        <v>323</v>
      </c>
      <c r="C25" s="827"/>
      <c r="D25" s="827"/>
      <c r="E25" s="827"/>
      <c r="F25" s="827"/>
      <c r="G25" s="827"/>
      <c r="H25" s="827"/>
      <c r="I25" s="827"/>
      <c r="J25" s="827"/>
      <c r="K25" s="827"/>
      <c r="L25" s="827"/>
      <c r="M25" s="827"/>
      <c r="N25" s="827"/>
      <c r="O25" s="827"/>
      <c r="P25" s="827"/>
      <c r="Q25" s="827"/>
      <c r="R25" s="429"/>
      <c r="S25" s="429"/>
      <c r="T25" s="429"/>
    </row>
    <row r="26" spans="1:20" ht="21" customHeight="1" thickBot="1" x14ac:dyDescent="0.25">
      <c r="B26" s="823" t="s">
        <v>253</v>
      </c>
      <c r="C26" s="823"/>
      <c r="D26" s="823"/>
      <c r="E26" s="823"/>
      <c r="F26" s="823"/>
      <c r="G26" s="823"/>
      <c r="H26" s="823"/>
      <c r="I26" s="823"/>
      <c r="J26" s="823"/>
      <c r="K26" s="823"/>
      <c r="L26" s="823"/>
      <c r="M26" s="823"/>
      <c r="N26" s="281"/>
      <c r="O26" s="281"/>
      <c r="P26" s="281"/>
      <c r="Q26" s="311">
        <v>34</v>
      </c>
      <c r="R26" s="431"/>
      <c r="S26" s="432"/>
      <c r="T26" s="425"/>
    </row>
    <row r="27" spans="1:20" ht="15.75" thickTop="1" thickBot="1" x14ac:dyDescent="0.25">
      <c r="L27" s="254"/>
      <c r="M27" s="254"/>
      <c r="N27" s="254"/>
      <c r="R27" s="280"/>
    </row>
    <row r="28" spans="1:20" ht="15" thickTop="1" x14ac:dyDescent="0.2">
      <c r="R28" s="280"/>
    </row>
    <row r="29" spans="1:20" x14ac:dyDescent="0.2">
      <c r="G29" s="279">
        <v>8822463.1500000004</v>
      </c>
      <c r="H29" s="279">
        <v>2300718.9611999998</v>
      </c>
      <c r="I29" s="279">
        <v>11123182.111199999</v>
      </c>
      <c r="R29" s="280"/>
    </row>
    <row r="30" spans="1:20" x14ac:dyDescent="0.2">
      <c r="H30" s="441"/>
      <c r="P30" s="441"/>
      <c r="R30" s="280">
        <v>1058558.44</v>
      </c>
      <c r="S30" s="279">
        <v>336989.13</v>
      </c>
      <c r="T30" s="279">
        <v>1395547.5699999998</v>
      </c>
    </row>
    <row r="31" spans="1:20" x14ac:dyDescent="0.2">
      <c r="R31" s="280">
        <v>784734</v>
      </c>
      <c r="S31" s="279">
        <v>640064.31999999995</v>
      </c>
      <c r="T31" s="279">
        <v>1424798.3199999998</v>
      </c>
    </row>
    <row r="32" spans="1:20" x14ac:dyDescent="0.2">
      <c r="R32" s="280">
        <v>0</v>
      </c>
      <c r="S32" s="279">
        <v>0</v>
      </c>
      <c r="T32" s="279">
        <v>2820345.8899999997</v>
      </c>
    </row>
    <row r="33" spans="18:20" x14ac:dyDescent="0.2">
      <c r="R33" s="280">
        <v>5838251</v>
      </c>
      <c r="S33" s="279">
        <v>0</v>
      </c>
      <c r="T33" s="279">
        <v>5838251</v>
      </c>
    </row>
    <row r="34" spans="18:20" x14ac:dyDescent="0.2">
      <c r="R34" s="280">
        <v>653000.4</v>
      </c>
      <c r="S34" s="279">
        <v>396104.8</v>
      </c>
      <c r="T34" s="279">
        <v>1049105.2</v>
      </c>
    </row>
    <row r="35" spans="18:20" x14ac:dyDescent="0.2">
      <c r="R35" s="280">
        <v>776909.6</v>
      </c>
      <c r="S35" s="279">
        <v>593124.32999999996</v>
      </c>
      <c r="T35" s="279">
        <v>6887356.2000000002</v>
      </c>
    </row>
    <row r="36" spans="18:20" x14ac:dyDescent="0.2">
      <c r="R36" s="280">
        <v>762063.35999999999</v>
      </c>
      <c r="S36" s="279">
        <v>338348.94</v>
      </c>
      <c r="T36" s="279">
        <v>1100412.3</v>
      </c>
    </row>
    <row r="37" spans="18:20" x14ac:dyDescent="0.2">
      <c r="R37" s="280">
        <v>727523.1</v>
      </c>
      <c r="S37" s="279">
        <v>347597.9</v>
      </c>
      <c r="T37" s="279">
        <v>1075121</v>
      </c>
    </row>
    <row r="38" spans="18:20" x14ac:dyDescent="0.2">
      <c r="R38" s="280">
        <v>504547.2</v>
      </c>
      <c r="S38" s="279">
        <v>477835.12</v>
      </c>
      <c r="T38" s="279">
        <v>2175533.2999999998</v>
      </c>
    </row>
    <row r="39" spans="18:20" x14ac:dyDescent="0.2">
      <c r="R39" s="280">
        <v>1003341.64</v>
      </c>
      <c r="S39" s="279">
        <v>336007.3</v>
      </c>
      <c r="T39" s="279">
        <v>1339348.94</v>
      </c>
    </row>
    <row r="40" spans="18:20" x14ac:dyDescent="0.2">
      <c r="R40" s="280">
        <v>583596.9</v>
      </c>
      <c r="S40" s="279">
        <v>333063.38</v>
      </c>
      <c r="T40" s="279">
        <v>916660.28</v>
      </c>
    </row>
    <row r="41" spans="18:20" x14ac:dyDescent="0.2">
      <c r="R41" s="280">
        <v>320657.21000000002</v>
      </c>
      <c r="S41" s="279">
        <v>285815.64</v>
      </c>
      <c r="T41" s="279">
        <v>2256009.2199999997</v>
      </c>
    </row>
    <row r="42" spans="18:20" x14ac:dyDescent="0.2">
      <c r="R42" s="280">
        <v>0</v>
      </c>
      <c r="S42" s="279">
        <v>0</v>
      </c>
      <c r="T42" s="279">
        <v>0</v>
      </c>
    </row>
    <row r="43" spans="18:20" x14ac:dyDescent="0.2">
      <c r="R43" s="280">
        <v>736577.76</v>
      </c>
      <c r="S43" s="279">
        <v>249311.92</v>
      </c>
      <c r="T43" s="279">
        <v>985889.68</v>
      </c>
    </row>
    <row r="44" spans="18:20" x14ac:dyDescent="0.2">
      <c r="R44" s="280">
        <v>2070999.9</v>
      </c>
      <c r="S44" s="279">
        <v>479037.6</v>
      </c>
      <c r="T44" s="279">
        <v>985889.68</v>
      </c>
    </row>
    <row r="45" spans="18:20" x14ac:dyDescent="0.2">
      <c r="R45" s="280">
        <v>15820760.51</v>
      </c>
      <c r="S45" s="279">
        <v>4813300.38</v>
      </c>
      <c r="T45" s="279">
        <v>20634060.890000001</v>
      </c>
    </row>
    <row r="46" spans="18:20" x14ac:dyDescent="0.2">
      <c r="R46" s="280"/>
    </row>
    <row r="47" spans="18:20" x14ac:dyDescent="0.2">
      <c r="R47" s="280"/>
    </row>
    <row r="48" spans="18:20" x14ac:dyDescent="0.2">
      <c r="R48" s="280"/>
    </row>
    <row r="49" spans="18:18" x14ac:dyDescent="0.2">
      <c r="R49" s="280"/>
    </row>
    <row r="50" spans="18:18" x14ac:dyDescent="0.2">
      <c r="R50" s="280"/>
    </row>
    <row r="51" spans="18:18" x14ac:dyDescent="0.2">
      <c r="R51" s="280"/>
    </row>
    <row r="52" spans="18:18" x14ac:dyDescent="0.2">
      <c r="R52" s="280"/>
    </row>
  </sheetData>
  <mergeCells count="13">
    <mergeCell ref="B24:Q24"/>
    <mergeCell ref="B25:Q25"/>
    <mergeCell ref="B26:M26"/>
    <mergeCell ref="C3:E3"/>
    <mergeCell ref="B2:Q2"/>
    <mergeCell ref="B3:B4"/>
    <mergeCell ref="K3:M3"/>
    <mergeCell ref="O3:Q3"/>
    <mergeCell ref="B1:Q1"/>
    <mergeCell ref="R3:T3"/>
    <mergeCell ref="G3:I3"/>
    <mergeCell ref="B22:M22"/>
    <mergeCell ref="B23:M23"/>
  </mergeCells>
  <printOptions horizontalCentered="1"/>
  <pageMargins left="0.45" right="0.45" top="0.5" bottom="0.5" header="0.3" footer="0.3"/>
  <pageSetup paperSize="9" scale="9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5"/>
  <sheetViews>
    <sheetView rightToLeft="1" view="pageBreakPreview" topLeftCell="A10" zoomScaleSheetLayoutView="100" workbookViewId="0">
      <selection sqref="A1:H1"/>
    </sheetView>
  </sheetViews>
  <sheetFormatPr defaultColWidth="10.42578125" defaultRowHeight="14.25" x14ac:dyDescent="0.2"/>
  <cols>
    <col min="1" max="1" width="18.42578125" style="279" customWidth="1"/>
    <col min="2" max="4" width="16.85546875" style="279" customWidth="1"/>
    <col min="5" max="5" width="2" style="279" customWidth="1"/>
    <col min="6" max="8" width="16.85546875" style="279" customWidth="1"/>
    <col min="9" max="16384" width="10.42578125" style="279"/>
  </cols>
  <sheetData>
    <row r="1" spans="1:8" ht="21.75" customHeight="1" x14ac:dyDescent="0.2">
      <c r="A1" s="858" t="s">
        <v>455</v>
      </c>
      <c r="B1" s="858"/>
      <c r="C1" s="858"/>
      <c r="D1" s="858"/>
      <c r="E1" s="858"/>
      <c r="F1" s="858"/>
      <c r="G1" s="858"/>
      <c r="H1" s="858"/>
    </row>
    <row r="2" spans="1:8" ht="21.75" customHeight="1" thickBot="1" x14ac:dyDescent="0.25">
      <c r="A2" s="859" t="s">
        <v>387</v>
      </c>
      <c r="B2" s="859"/>
      <c r="C2" s="859"/>
      <c r="D2" s="859"/>
      <c r="E2" s="859"/>
      <c r="F2" s="859"/>
      <c r="G2" s="859"/>
      <c r="H2" s="859"/>
    </row>
    <row r="3" spans="1:8" ht="21.75" customHeight="1" thickTop="1" x14ac:dyDescent="0.2">
      <c r="A3" s="860" t="s">
        <v>74</v>
      </c>
      <c r="B3" s="855" t="s">
        <v>5</v>
      </c>
      <c r="C3" s="855"/>
      <c r="D3" s="855"/>
      <c r="E3" s="862"/>
      <c r="F3" s="862" t="s">
        <v>290</v>
      </c>
      <c r="G3" s="862"/>
      <c r="H3" s="862"/>
    </row>
    <row r="4" spans="1:8" ht="21.75" customHeight="1" x14ac:dyDescent="0.2">
      <c r="A4" s="861"/>
      <c r="B4" s="278" t="s">
        <v>270</v>
      </c>
      <c r="C4" s="278" t="s">
        <v>90</v>
      </c>
      <c r="D4" s="278" t="s">
        <v>25</v>
      </c>
      <c r="E4" s="865"/>
      <c r="F4" s="278" t="s">
        <v>270</v>
      </c>
      <c r="G4" s="278" t="s">
        <v>90</v>
      </c>
      <c r="H4" s="278" t="s">
        <v>25</v>
      </c>
    </row>
    <row r="5" spans="1:8" s="646" customFormat="1" ht="21.75" customHeight="1" x14ac:dyDescent="0.2">
      <c r="A5" s="571" t="s">
        <v>75</v>
      </c>
      <c r="B5" s="241">
        <v>2382132</v>
      </c>
      <c r="C5" s="241">
        <v>1546083</v>
      </c>
      <c r="D5" s="241">
        <f>SUM(B5:C5)</f>
        <v>3928215</v>
      </c>
      <c r="E5" s="241"/>
      <c r="F5" s="328">
        <f t="shared" ref="F5:F14" si="0">B5*350/1000</f>
        <v>833746.2</v>
      </c>
      <c r="G5" s="328">
        <f t="shared" ref="G5:G14" si="1">C5*250/1000</f>
        <v>386520.75</v>
      </c>
      <c r="H5" s="568">
        <f t="shared" ref="H5:H15" si="2">SUM(F5:G5)</f>
        <v>1220266.95</v>
      </c>
    </row>
    <row r="6" spans="1:8" s="285" customFormat="1" ht="21.75" customHeight="1" x14ac:dyDescent="0.2">
      <c r="A6" s="571" t="s">
        <v>76</v>
      </c>
      <c r="B6" s="241">
        <v>1243881</v>
      </c>
      <c r="C6" s="241">
        <v>438928</v>
      </c>
      <c r="D6" s="241">
        <v>1682809</v>
      </c>
      <c r="E6" s="241"/>
      <c r="F6" s="328">
        <f t="shared" si="0"/>
        <v>435358.35</v>
      </c>
      <c r="G6" s="328">
        <f t="shared" si="1"/>
        <v>109732</v>
      </c>
      <c r="H6" s="329">
        <f t="shared" si="2"/>
        <v>545090.35</v>
      </c>
    </row>
    <row r="7" spans="1:8" s="285" customFormat="1" ht="21.75" customHeight="1" x14ac:dyDescent="0.2">
      <c r="A7" s="239" t="s">
        <v>77</v>
      </c>
      <c r="B7" s="241">
        <v>848350</v>
      </c>
      <c r="C7" s="241">
        <v>875888</v>
      </c>
      <c r="D7" s="241">
        <v>1724238</v>
      </c>
      <c r="E7" s="241"/>
      <c r="F7" s="328">
        <f t="shared" si="0"/>
        <v>296922.5</v>
      </c>
      <c r="G7" s="328">
        <f t="shared" si="1"/>
        <v>218972</v>
      </c>
      <c r="H7" s="568">
        <f t="shared" si="2"/>
        <v>515894.5</v>
      </c>
    </row>
    <row r="8" spans="1:8" s="285" customFormat="1" ht="21.75" customHeight="1" x14ac:dyDescent="0.2">
      <c r="A8" s="239" t="s">
        <v>330</v>
      </c>
      <c r="B8" s="241">
        <v>933217</v>
      </c>
      <c r="C8" s="241">
        <v>932601</v>
      </c>
      <c r="D8" s="241">
        <f>SUM(B8:C8)</f>
        <v>1865818</v>
      </c>
      <c r="E8" s="241"/>
      <c r="F8" s="328">
        <f t="shared" si="0"/>
        <v>326625.95</v>
      </c>
      <c r="G8" s="328">
        <f t="shared" si="1"/>
        <v>233150.25</v>
      </c>
      <c r="H8" s="568">
        <f t="shared" si="2"/>
        <v>559776.19999999995</v>
      </c>
    </row>
    <row r="9" spans="1:8" s="285" customFormat="1" ht="21.75" customHeight="1" x14ac:dyDescent="0.2">
      <c r="A9" s="239" t="s">
        <v>88</v>
      </c>
      <c r="B9" s="241">
        <v>6311527</v>
      </c>
      <c r="C9" s="241">
        <v>0</v>
      </c>
      <c r="D9" s="241">
        <f>SUM(B9:C9)</f>
        <v>6311527</v>
      </c>
      <c r="E9" s="241"/>
      <c r="F9" s="328">
        <f t="shared" si="0"/>
        <v>2209034.4500000002</v>
      </c>
      <c r="G9" s="328">
        <f t="shared" si="1"/>
        <v>0</v>
      </c>
      <c r="H9" s="329">
        <f t="shared" si="2"/>
        <v>2209034.4500000002</v>
      </c>
    </row>
    <row r="10" spans="1:8" s="285" customFormat="1" ht="21.75" customHeight="1" x14ac:dyDescent="0.2">
      <c r="A10" s="239" t="s">
        <v>79</v>
      </c>
      <c r="B10" s="241">
        <v>1176560</v>
      </c>
      <c r="C10" s="241">
        <v>1070538</v>
      </c>
      <c r="D10" s="241">
        <v>2247098</v>
      </c>
      <c r="E10" s="241"/>
      <c r="F10" s="328">
        <f t="shared" si="0"/>
        <v>411796</v>
      </c>
      <c r="G10" s="328">
        <f t="shared" si="1"/>
        <v>267634.5</v>
      </c>
      <c r="H10" s="329">
        <f t="shared" si="2"/>
        <v>679430.5</v>
      </c>
    </row>
    <row r="11" spans="1:8" s="285" customFormat="1" ht="21.75" customHeight="1" x14ac:dyDescent="0.2">
      <c r="A11" s="239" t="s">
        <v>81</v>
      </c>
      <c r="B11" s="241">
        <v>1049856</v>
      </c>
      <c r="C11" s="241">
        <v>1124927</v>
      </c>
      <c r="D11" s="237">
        <v>2174783</v>
      </c>
      <c r="E11" s="241"/>
      <c r="F11" s="328">
        <f t="shared" si="0"/>
        <v>367449.59999999998</v>
      </c>
      <c r="G11" s="328">
        <f t="shared" si="1"/>
        <v>281231.75</v>
      </c>
      <c r="H11" s="329">
        <f t="shared" si="2"/>
        <v>648681.35</v>
      </c>
    </row>
    <row r="12" spans="1:8" s="285" customFormat="1" ht="21.75" customHeight="1" x14ac:dyDescent="0.2">
      <c r="A12" s="239" t="s">
        <v>73</v>
      </c>
      <c r="B12" s="241">
        <v>858171</v>
      </c>
      <c r="C12" s="241">
        <v>425313</v>
      </c>
      <c r="D12" s="237">
        <v>1283484</v>
      </c>
      <c r="E12" s="237"/>
      <c r="F12" s="328">
        <f t="shared" si="0"/>
        <v>300359.84999999998</v>
      </c>
      <c r="G12" s="328">
        <f t="shared" si="1"/>
        <v>106328.25</v>
      </c>
      <c r="H12" s="329">
        <f t="shared" si="2"/>
        <v>406688.1</v>
      </c>
    </row>
    <row r="13" spans="1:8" s="284" customFormat="1" ht="21.75" customHeight="1" x14ac:dyDescent="0.2">
      <c r="A13" s="239" t="s">
        <v>80</v>
      </c>
      <c r="B13" s="241">
        <v>873884</v>
      </c>
      <c r="C13" s="241">
        <v>578123</v>
      </c>
      <c r="D13" s="241">
        <v>1452007</v>
      </c>
      <c r="E13" s="241"/>
      <c r="F13" s="328">
        <f t="shared" si="0"/>
        <v>305859.40000000002</v>
      </c>
      <c r="G13" s="328">
        <f t="shared" si="1"/>
        <v>144530.75</v>
      </c>
      <c r="H13" s="568">
        <f t="shared" si="2"/>
        <v>450390.15</v>
      </c>
    </row>
    <row r="14" spans="1:8" s="284" customFormat="1" ht="21.75" customHeight="1" x14ac:dyDescent="0.2">
      <c r="A14" s="239" t="s">
        <v>78</v>
      </c>
      <c r="B14" s="241">
        <v>757567</v>
      </c>
      <c r="C14" s="241">
        <v>922448</v>
      </c>
      <c r="D14" s="241">
        <v>1680015</v>
      </c>
      <c r="E14" s="241"/>
      <c r="F14" s="328">
        <f t="shared" si="0"/>
        <v>265148.45</v>
      </c>
      <c r="G14" s="328">
        <f t="shared" si="1"/>
        <v>230612</v>
      </c>
      <c r="H14" s="329">
        <f t="shared" si="2"/>
        <v>495760.45</v>
      </c>
    </row>
    <row r="15" spans="1:8" s="284" customFormat="1" ht="21.75" customHeight="1" x14ac:dyDescent="0.2">
      <c r="A15" s="239" t="s">
        <v>82</v>
      </c>
      <c r="B15" s="241">
        <v>1106811</v>
      </c>
      <c r="C15" s="241">
        <v>442977</v>
      </c>
      <c r="D15" s="241">
        <v>1549788</v>
      </c>
      <c r="E15" s="241"/>
      <c r="F15" s="328">
        <f t="shared" ref="F15:F20" si="3">B15*350/1000</f>
        <v>387383.85</v>
      </c>
      <c r="G15" s="328">
        <f t="shared" ref="G15:G20" si="4">C15*250/1000</f>
        <v>110744.25</v>
      </c>
      <c r="H15" s="329">
        <f t="shared" si="2"/>
        <v>498128.1</v>
      </c>
    </row>
    <row r="16" spans="1:8" s="284" customFormat="1" ht="21.75" customHeight="1" x14ac:dyDescent="0.2">
      <c r="A16" s="239" t="s">
        <v>83</v>
      </c>
      <c r="B16" s="241">
        <v>778901</v>
      </c>
      <c r="C16" s="241">
        <v>580741</v>
      </c>
      <c r="D16" s="241">
        <v>1359642</v>
      </c>
      <c r="E16" s="241"/>
      <c r="F16" s="328">
        <f t="shared" si="3"/>
        <v>272615.34999999998</v>
      </c>
      <c r="G16" s="328">
        <f t="shared" si="4"/>
        <v>145185.25</v>
      </c>
      <c r="H16" s="329">
        <v>417800</v>
      </c>
    </row>
    <row r="17" spans="1:14" s="284" customFormat="1" ht="21.75" customHeight="1" x14ac:dyDescent="0.2">
      <c r="A17" s="239" t="s">
        <v>84</v>
      </c>
      <c r="B17" s="241">
        <v>398334</v>
      </c>
      <c r="C17" s="241">
        <v>459318</v>
      </c>
      <c r="D17" s="241">
        <v>857652</v>
      </c>
      <c r="E17" s="241"/>
      <c r="F17" s="328">
        <f t="shared" si="3"/>
        <v>139416.9</v>
      </c>
      <c r="G17" s="328">
        <f t="shared" si="4"/>
        <v>114829.5</v>
      </c>
      <c r="H17" s="329">
        <v>254247</v>
      </c>
    </row>
    <row r="18" spans="1:14" s="284" customFormat="1" ht="21.75" customHeight="1" x14ac:dyDescent="0.2">
      <c r="A18" s="239" t="s">
        <v>85</v>
      </c>
      <c r="B18" s="241">
        <v>1416271</v>
      </c>
      <c r="C18" s="241">
        <v>790243</v>
      </c>
      <c r="D18" s="241">
        <v>2206514</v>
      </c>
      <c r="E18" s="241"/>
      <c r="F18" s="328">
        <f t="shared" si="3"/>
        <v>495694.85</v>
      </c>
      <c r="G18" s="328">
        <f t="shared" si="4"/>
        <v>197560.75</v>
      </c>
      <c r="H18" s="329">
        <f>SUM(F18:G18)</f>
        <v>693255.6</v>
      </c>
      <c r="J18" s="284">
        <f>870680+143850</f>
        <v>1014530</v>
      </c>
    </row>
    <row r="19" spans="1:14" s="284" customFormat="1" ht="21.75" customHeight="1" x14ac:dyDescent="0.2">
      <c r="A19" s="239" t="s">
        <v>86</v>
      </c>
      <c r="B19" s="241">
        <f>'18'!B19</f>
        <v>865530</v>
      </c>
      <c r="C19" s="241">
        <f>'18'!C19</f>
        <v>306272</v>
      </c>
      <c r="D19" s="241">
        <f>'18'!D19</f>
        <v>1171802</v>
      </c>
      <c r="E19" s="241"/>
      <c r="F19" s="328">
        <f t="shared" si="3"/>
        <v>302935.5</v>
      </c>
      <c r="G19" s="328">
        <f t="shared" si="4"/>
        <v>76568</v>
      </c>
      <c r="H19" s="329">
        <f>SUM(F19:G19)</f>
        <v>379503.5</v>
      </c>
    </row>
    <row r="20" spans="1:14" s="284" customFormat="1" ht="21.75" customHeight="1" thickBot="1" x14ac:dyDescent="0.25">
      <c r="A20" s="242" t="s">
        <v>87</v>
      </c>
      <c r="B20" s="237">
        <v>2487658</v>
      </c>
      <c r="C20" s="237">
        <v>575401</v>
      </c>
      <c r="D20" s="237">
        <f>SUM(B20:C20)</f>
        <v>3063059</v>
      </c>
      <c r="E20" s="237"/>
      <c r="F20" s="328">
        <f t="shared" si="3"/>
        <v>870680.3</v>
      </c>
      <c r="G20" s="328">
        <f t="shared" si="4"/>
        <v>143850.25</v>
      </c>
      <c r="H20" s="329">
        <v>1014530</v>
      </c>
    </row>
    <row r="21" spans="1:14" s="232" customFormat="1" ht="21.75" customHeight="1" thickTop="1" thickBot="1" x14ac:dyDescent="0.25">
      <c r="A21" s="251" t="s">
        <v>309</v>
      </c>
      <c r="B21" s="254">
        <f>SUM(B5:B20)</f>
        <v>23488650</v>
      </c>
      <c r="C21" s="254">
        <f>SUM(C5:C20)</f>
        <v>11069801</v>
      </c>
      <c r="D21" s="254">
        <f>SUM(D5:D20)</f>
        <v>34558451</v>
      </c>
      <c r="E21" s="254"/>
      <c r="F21" s="254">
        <f>SUM(F5:F20)</f>
        <v>8221027.4999999991</v>
      </c>
      <c r="G21" s="254">
        <f>SUM(G5:G20)</f>
        <v>2767450.25</v>
      </c>
      <c r="H21" s="254">
        <f>SUM(H5:H20)</f>
        <v>10988477.199999999</v>
      </c>
      <c r="J21" s="481">
        <f>SUM(F5:F20)</f>
        <v>8221027.4999999991</v>
      </c>
      <c r="K21" s="481">
        <f>SUM(G5:G20)</f>
        <v>2767450.25</v>
      </c>
    </row>
    <row r="22" spans="1:14" s="232" customFormat="1" ht="16.5" customHeight="1" thickTop="1" x14ac:dyDescent="0.2">
      <c r="A22" s="857" t="s">
        <v>267</v>
      </c>
      <c r="B22" s="857"/>
      <c r="C22" s="857"/>
      <c r="D22" s="857"/>
      <c r="E22" s="857"/>
      <c r="F22" s="857"/>
      <c r="G22" s="857"/>
      <c r="H22" s="857"/>
    </row>
    <row r="23" spans="1:14" s="232" customFormat="1" ht="16.5" customHeight="1" x14ac:dyDescent="0.25">
      <c r="A23" s="845"/>
      <c r="B23" s="845"/>
      <c r="C23" s="845"/>
      <c r="D23" s="845"/>
      <c r="E23" s="845"/>
      <c r="F23" s="583"/>
      <c r="G23" s="583"/>
      <c r="H23" s="9"/>
      <c r="I23"/>
      <c r="J23"/>
      <c r="K23" s="243"/>
      <c r="L23" s="235"/>
      <c r="M23" s="234"/>
      <c r="N23" s="234"/>
    </row>
    <row r="24" spans="1:14" s="232" customFormat="1" ht="16.5" customHeight="1" thickBot="1" x14ac:dyDescent="0.25">
      <c r="A24" s="245"/>
      <c r="B24" s="256"/>
      <c r="C24" s="256"/>
      <c r="D24" s="256"/>
      <c r="E24" s="256"/>
      <c r="F24" s="247"/>
      <c r="G24" s="247"/>
      <c r="H24" s="248"/>
    </row>
    <row r="25" spans="1:14" ht="16.5" customHeight="1" x14ac:dyDescent="0.2">
      <c r="A25" s="823" t="s">
        <v>253</v>
      </c>
      <c r="B25" s="823"/>
      <c r="C25" s="823"/>
      <c r="D25" s="823"/>
      <c r="E25" s="478"/>
      <c r="F25" s="281"/>
      <c r="G25" s="281"/>
      <c r="H25" s="326">
        <v>35</v>
      </c>
    </row>
  </sheetData>
  <mergeCells count="9">
    <mergeCell ref="A22:H22"/>
    <mergeCell ref="A25:D25"/>
    <mergeCell ref="A1:H1"/>
    <mergeCell ref="A2:H2"/>
    <mergeCell ref="A3:A4"/>
    <mergeCell ref="B3:D3"/>
    <mergeCell ref="E3:E4"/>
    <mergeCell ref="F3:H3"/>
    <mergeCell ref="A23:E2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5"/>
  <sheetViews>
    <sheetView rightToLeft="1" view="pageBreakPreview" topLeftCell="A4" zoomScale="90" zoomScaleSheetLayoutView="90" workbookViewId="0">
      <selection activeCell="E8" sqref="E8"/>
    </sheetView>
  </sheetViews>
  <sheetFormatPr defaultColWidth="10.42578125" defaultRowHeight="14.25" x14ac:dyDescent="0.2"/>
  <cols>
    <col min="1" max="1" width="12.85546875" style="279" customWidth="1"/>
    <col min="2" max="2" width="16.42578125" style="279" customWidth="1"/>
    <col min="3" max="5" width="15.7109375" style="279" customWidth="1"/>
    <col min="6" max="6" width="0.85546875" style="279" customWidth="1"/>
    <col min="7" max="10" width="12" style="279" customWidth="1"/>
    <col min="11" max="13" width="0" style="279" hidden="1" customWidth="1"/>
    <col min="14" max="16384" width="10.42578125" style="279"/>
  </cols>
  <sheetData>
    <row r="1" spans="1:13" ht="22.5" customHeight="1" x14ac:dyDescent="0.2">
      <c r="A1" s="858" t="s">
        <v>520</v>
      </c>
      <c r="B1" s="858"/>
      <c r="C1" s="858"/>
      <c r="D1" s="858"/>
      <c r="E1" s="858"/>
      <c r="F1" s="858"/>
      <c r="G1" s="858"/>
      <c r="H1" s="858"/>
      <c r="I1" s="858"/>
      <c r="J1" s="858"/>
    </row>
    <row r="2" spans="1:13" ht="22.5" customHeight="1" thickBot="1" x14ac:dyDescent="0.25">
      <c r="A2" s="859" t="s">
        <v>486</v>
      </c>
      <c r="B2" s="859"/>
      <c r="C2" s="859"/>
      <c r="D2" s="859"/>
      <c r="E2" s="859"/>
      <c r="F2" s="859"/>
      <c r="G2" s="859"/>
      <c r="H2" s="859"/>
      <c r="I2" s="859"/>
      <c r="J2" s="859"/>
    </row>
    <row r="3" spans="1:13" ht="29.25" customHeight="1" thickTop="1" x14ac:dyDescent="0.2">
      <c r="A3" s="860" t="s">
        <v>74</v>
      </c>
      <c r="B3" s="860" t="s">
        <v>350</v>
      </c>
      <c r="C3" s="855" t="s">
        <v>312</v>
      </c>
      <c r="D3" s="855"/>
      <c r="E3" s="855"/>
      <c r="F3" s="862"/>
      <c r="G3" s="862" t="s">
        <v>313</v>
      </c>
      <c r="H3" s="862"/>
      <c r="I3" s="862"/>
      <c r="J3" s="862"/>
    </row>
    <row r="4" spans="1:13" ht="22.5" customHeight="1" x14ac:dyDescent="0.2">
      <c r="A4" s="861"/>
      <c r="B4" s="861"/>
      <c r="C4" s="278" t="s">
        <v>291</v>
      </c>
      <c r="D4" s="278" t="s">
        <v>292</v>
      </c>
      <c r="E4" s="278" t="s">
        <v>293</v>
      </c>
      <c r="F4" s="865"/>
      <c r="G4" s="278" t="s">
        <v>291</v>
      </c>
      <c r="H4" s="278" t="s">
        <v>292</v>
      </c>
      <c r="I4" s="278" t="s">
        <v>293</v>
      </c>
      <c r="J4" s="278" t="s">
        <v>25</v>
      </c>
    </row>
    <row r="5" spans="1:13" s="646" customFormat="1" ht="22.5" customHeight="1" x14ac:dyDescent="0.2">
      <c r="A5" s="571" t="s">
        <v>75</v>
      </c>
      <c r="B5" s="237">
        <f>'16'!T5</f>
        <v>2038550</v>
      </c>
      <c r="C5" s="241">
        <f>B5*G5/100</f>
        <v>1834695</v>
      </c>
      <c r="D5" s="241">
        <f>B5*H5/100</f>
        <v>142698.5</v>
      </c>
      <c r="E5" s="241">
        <f>B5*I5/100</f>
        <v>61156.5</v>
      </c>
      <c r="F5" s="241"/>
      <c r="G5" s="502">
        <v>90</v>
      </c>
      <c r="H5" s="502">
        <v>7</v>
      </c>
      <c r="I5" s="502">
        <v>3</v>
      </c>
      <c r="J5" s="570">
        <f t="shared" ref="J5:J15" si="0">SUM(G5:I5)</f>
        <v>100</v>
      </c>
    </row>
    <row r="6" spans="1:13" s="285" customFormat="1" ht="22.5" customHeight="1" x14ac:dyDescent="0.2">
      <c r="A6" s="571" t="s">
        <v>76</v>
      </c>
      <c r="B6" s="237">
        <f>'16'!T6</f>
        <v>790558</v>
      </c>
      <c r="C6" s="241">
        <f>B6*G6/100</f>
        <v>727313.36</v>
      </c>
      <c r="D6" s="241">
        <f>B6*H6/100</f>
        <v>7905.58</v>
      </c>
      <c r="E6" s="241">
        <f>B6*I6/100</f>
        <v>55339.06</v>
      </c>
      <c r="F6" s="241"/>
      <c r="G6" s="502">
        <v>92</v>
      </c>
      <c r="H6" s="502">
        <v>1</v>
      </c>
      <c r="I6" s="502">
        <v>7</v>
      </c>
      <c r="J6" s="503">
        <f t="shared" si="0"/>
        <v>100</v>
      </c>
    </row>
    <row r="7" spans="1:13" s="285" customFormat="1" ht="22.5" customHeight="1" x14ac:dyDescent="0.2">
      <c r="A7" s="239" t="s">
        <v>77</v>
      </c>
      <c r="B7" s="237">
        <f>'16'!T7</f>
        <v>545921</v>
      </c>
      <c r="C7" s="241">
        <f>B7*G7/100</f>
        <v>524084.16</v>
      </c>
      <c r="D7" s="241">
        <f>B7*H7/100</f>
        <v>16377.63</v>
      </c>
      <c r="E7" s="241">
        <f>B7*I7/100</f>
        <v>5459.21</v>
      </c>
      <c r="F7" s="241"/>
      <c r="G7" s="502">
        <v>96</v>
      </c>
      <c r="H7" s="502">
        <v>3</v>
      </c>
      <c r="I7" s="502">
        <v>1</v>
      </c>
      <c r="J7" s="503">
        <f t="shared" si="0"/>
        <v>100</v>
      </c>
    </row>
    <row r="8" spans="1:13" s="285" customFormat="1" ht="22.5" customHeight="1" x14ac:dyDescent="0.2">
      <c r="A8" s="239" t="s">
        <v>330</v>
      </c>
      <c r="B8" s="237">
        <f>'16'!T8</f>
        <v>443318</v>
      </c>
      <c r="C8" s="241">
        <f>B8*G8/100</f>
        <v>354654.4</v>
      </c>
      <c r="D8" s="241">
        <f>B8*H8/100</f>
        <v>44331.8</v>
      </c>
      <c r="E8" s="241">
        <f>B8*I8/100</f>
        <v>44331.8</v>
      </c>
      <c r="F8" s="241"/>
      <c r="G8" s="502">
        <v>80</v>
      </c>
      <c r="H8" s="502">
        <v>10</v>
      </c>
      <c r="I8" s="502">
        <v>10</v>
      </c>
      <c r="J8" s="570">
        <f t="shared" si="0"/>
        <v>100</v>
      </c>
    </row>
    <row r="9" spans="1:13" s="285" customFormat="1" ht="22.5" customHeight="1" x14ac:dyDescent="0.2">
      <c r="A9" s="239" t="s">
        <v>88</v>
      </c>
      <c r="B9" s="237">
        <f>'16'!T9</f>
        <v>4087612</v>
      </c>
      <c r="C9" s="241">
        <f>B9*G9/100</f>
        <v>3498995.872</v>
      </c>
      <c r="D9" s="241">
        <f>B9*H9/100</f>
        <v>39241.075199999999</v>
      </c>
      <c r="E9" s="241">
        <f>B9*I9/100</f>
        <v>549375.05280000006</v>
      </c>
      <c r="F9" s="241"/>
      <c r="G9" s="502">
        <v>85.6</v>
      </c>
      <c r="H9" s="502">
        <v>0.96</v>
      </c>
      <c r="I9" s="502">
        <v>13.44</v>
      </c>
      <c r="J9" s="503">
        <f t="shared" si="0"/>
        <v>99.999999999999986</v>
      </c>
    </row>
    <row r="10" spans="1:13" s="285" customFormat="1" ht="22.5" customHeight="1" x14ac:dyDescent="0.2">
      <c r="A10" s="239" t="s">
        <v>79</v>
      </c>
      <c r="B10" s="237">
        <f>'16'!T10</f>
        <v>592502</v>
      </c>
      <c r="C10" s="241">
        <f>B10*G10/100</f>
        <v>414751.4</v>
      </c>
      <c r="D10" s="241">
        <f>B10*H10/100</f>
        <v>118500.4</v>
      </c>
      <c r="E10" s="241">
        <f>B10*I10/100</f>
        <v>59250.2</v>
      </c>
      <c r="F10" s="241"/>
      <c r="G10" s="502">
        <v>70</v>
      </c>
      <c r="H10" s="502">
        <v>20</v>
      </c>
      <c r="I10" s="502">
        <v>10</v>
      </c>
      <c r="J10" s="503">
        <f t="shared" si="0"/>
        <v>100</v>
      </c>
      <c r="K10" s="285">
        <v>564947.6</v>
      </c>
      <c r="L10" s="285">
        <v>161413.6</v>
      </c>
      <c r="M10" s="285">
        <v>80706.8</v>
      </c>
    </row>
    <row r="11" spans="1:13" s="285" customFormat="1" ht="22.5" customHeight="1" x14ac:dyDescent="0.2">
      <c r="A11" s="239" t="s">
        <v>81</v>
      </c>
      <c r="B11" s="237">
        <v>841289</v>
      </c>
      <c r="C11" s="241">
        <f>B11*G11/100</f>
        <v>807637.44</v>
      </c>
      <c r="D11" s="241">
        <f>B11*H11/100</f>
        <v>8412.89</v>
      </c>
      <c r="E11" s="241">
        <f>B11*I11/100</f>
        <v>25238.67</v>
      </c>
      <c r="F11" s="241"/>
      <c r="G11" s="502">
        <v>96</v>
      </c>
      <c r="H11" s="502">
        <v>1</v>
      </c>
      <c r="I11" s="502">
        <v>3</v>
      </c>
      <c r="J11" s="503">
        <f t="shared" si="0"/>
        <v>100</v>
      </c>
    </row>
    <row r="12" spans="1:13" s="285" customFormat="1" ht="22.5" customHeight="1" x14ac:dyDescent="0.2">
      <c r="A12" s="239" t="s">
        <v>73</v>
      </c>
      <c r="B12" s="527">
        <v>571080</v>
      </c>
      <c r="C12" s="241">
        <f>B12*G12/100</f>
        <v>485418</v>
      </c>
      <c r="D12" s="241">
        <f>B12*H12/100</f>
        <v>11421.6</v>
      </c>
      <c r="E12" s="241">
        <f>B12*I12/100</f>
        <v>74240.399999999994</v>
      </c>
      <c r="F12" s="237"/>
      <c r="G12" s="502">
        <v>85</v>
      </c>
      <c r="H12" s="502">
        <v>2</v>
      </c>
      <c r="I12" s="502">
        <v>13</v>
      </c>
      <c r="J12" s="503">
        <f t="shared" si="0"/>
        <v>100</v>
      </c>
    </row>
    <row r="13" spans="1:13" s="284" customFormat="1" ht="22.5" customHeight="1" x14ac:dyDescent="0.2">
      <c r="A13" s="239" t="s">
        <v>80</v>
      </c>
      <c r="B13" s="237">
        <f>'16'!T13</f>
        <v>751641</v>
      </c>
      <c r="C13" s="241">
        <f>B13*G13/100</f>
        <v>526148.69999999995</v>
      </c>
      <c r="D13" s="241">
        <f>B13*H13/100</f>
        <v>210459.48</v>
      </c>
      <c r="E13" s="241">
        <f>B13*I13/100</f>
        <v>15032.82</v>
      </c>
      <c r="F13" s="241"/>
      <c r="G13" s="502">
        <v>70</v>
      </c>
      <c r="H13" s="502">
        <v>28</v>
      </c>
      <c r="I13" s="502">
        <v>2</v>
      </c>
      <c r="J13" s="503">
        <f t="shared" si="0"/>
        <v>100</v>
      </c>
      <c r="K13" s="284">
        <v>647859.84</v>
      </c>
      <c r="L13" s="284">
        <v>6748.54</v>
      </c>
      <c r="M13" s="284">
        <v>20245.62</v>
      </c>
    </row>
    <row r="14" spans="1:13" s="284" customFormat="1" ht="22.5" customHeight="1" x14ac:dyDescent="0.2">
      <c r="A14" s="239" t="s">
        <v>78</v>
      </c>
      <c r="B14" s="237">
        <f>'16'!T14</f>
        <v>490551</v>
      </c>
      <c r="C14" s="241">
        <f>B14*G14/100</f>
        <v>475834.47</v>
      </c>
      <c r="D14" s="241">
        <f>B14*H14/100</f>
        <v>4905.51</v>
      </c>
      <c r="E14" s="241">
        <f>B14*I14/100</f>
        <v>9811.02</v>
      </c>
      <c r="F14" s="241"/>
      <c r="G14" s="502">
        <v>97</v>
      </c>
      <c r="H14" s="502">
        <v>1</v>
      </c>
      <c r="I14" s="502">
        <v>2</v>
      </c>
      <c r="J14" s="503">
        <f t="shared" si="0"/>
        <v>100</v>
      </c>
      <c r="K14" s="241">
        <v>485700</v>
      </c>
      <c r="L14" s="241">
        <v>5007</v>
      </c>
      <c r="M14" s="241">
        <v>10015</v>
      </c>
    </row>
    <row r="15" spans="1:13" s="284" customFormat="1" ht="22.5" customHeight="1" x14ac:dyDescent="0.2">
      <c r="A15" s="239" t="s">
        <v>82</v>
      </c>
      <c r="B15" s="237">
        <f>'16'!T15</f>
        <v>931320</v>
      </c>
      <c r="C15" s="241">
        <f>B15*G15/100</f>
        <v>838188</v>
      </c>
      <c r="D15" s="241">
        <f>B15*H15/100</f>
        <v>9313.2000000000007</v>
      </c>
      <c r="E15" s="241">
        <f>B15*I15/100</f>
        <v>83818.8</v>
      </c>
      <c r="F15" s="241"/>
      <c r="G15" s="502">
        <v>90</v>
      </c>
      <c r="H15" s="502">
        <v>1</v>
      </c>
      <c r="I15" s="502">
        <v>9</v>
      </c>
      <c r="J15" s="503">
        <f t="shared" si="0"/>
        <v>100</v>
      </c>
    </row>
    <row r="16" spans="1:13" s="284" customFormat="1" ht="22.5" customHeight="1" x14ac:dyDescent="0.2">
      <c r="A16" s="239" t="s">
        <v>83</v>
      </c>
      <c r="B16" s="237">
        <f>'16'!T16</f>
        <v>396925</v>
      </c>
      <c r="C16" s="241">
        <v>341355</v>
      </c>
      <c r="D16" s="241">
        <f>B16*H16/100</f>
        <v>43661.75</v>
      </c>
      <c r="E16" s="241">
        <f>B16*I16/100</f>
        <v>11907.75</v>
      </c>
      <c r="F16" s="241"/>
      <c r="G16" s="502">
        <v>86</v>
      </c>
      <c r="H16" s="502">
        <v>11</v>
      </c>
      <c r="I16" s="502">
        <v>3</v>
      </c>
      <c r="J16" s="503">
        <f t="shared" ref="J16:J21" si="1">SUM(G16:I16)</f>
        <v>100</v>
      </c>
    </row>
    <row r="17" spans="1:14" s="284" customFormat="1" ht="22.5" customHeight="1" x14ac:dyDescent="0.2">
      <c r="A17" s="239" t="s">
        <v>84</v>
      </c>
      <c r="B17" s="237">
        <f>'16'!T17</f>
        <v>311271</v>
      </c>
      <c r="C17" s="241">
        <f>B17*G17/100</f>
        <v>295707.45</v>
      </c>
      <c r="D17" s="241">
        <f>B17*H17/100</f>
        <v>4357.7939999999999</v>
      </c>
      <c r="E17" s="241">
        <f>B17*I17/100</f>
        <v>11205.756000000001</v>
      </c>
      <c r="F17" s="241"/>
      <c r="G17" s="502">
        <v>95</v>
      </c>
      <c r="H17" s="502">
        <v>1.4</v>
      </c>
      <c r="I17" s="502">
        <v>3.6</v>
      </c>
      <c r="J17" s="503">
        <f t="shared" si="1"/>
        <v>100</v>
      </c>
    </row>
    <row r="18" spans="1:14" s="284" customFormat="1" ht="22.5" customHeight="1" x14ac:dyDescent="0.2">
      <c r="A18" s="239" t="s">
        <v>85</v>
      </c>
      <c r="B18" s="237">
        <v>656985</v>
      </c>
      <c r="C18" s="241">
        <f>B18*G18/100</f>
        <v>630705.6</v>
      </c>
      <c r="D18" s="241">
        <f>B18*H18/100</f>
        <v>6569.85</v>
      </c>
      <c r="E18" s="241">
        <f>B18*I18/100</f>
        <v>19709.55</v>
      </c>
      <c r="F18" s="241"/>
      <c r="G18" s="502">
        <v>96</v>
      </c>
      <c r="H18" s="502">
        <v>1</v>
      </c>
      <c r="I18" s="502">
        <v>3</v>
      </c>
      <c r="J18" s="503">
        <f t="shared" si="1"/>
        <v>100</v>
      </c>
      <c r="K18" s="284">
        <v>595215.4</v>
      </c>
      <c r="L18" s="241">
        <v>6200.2</v>
      </c>
      <c r="M18" s="284">
        <v>18600.5</v>
      </c>
    </row>
    <row r="19" spans="1:14" s="284" customFormat="1" ht="22.5" customHeight="1" x14ac:dyDescent="0.2">
      <c r="A19" s="239" t="s">
        <v>86</v>
      </c>
      <c r="B19" s="237">
        <f>'16'!T19</f>
        <v>784361</v>
      </c>
      <c r="C19" s="241">
        <f>B19*G19/100</f>
        <v>674550.46</v>
      </c>
      <c r="D19" s="241">
        <f>B19*H19/100</f>
        <v>83926.626999999993</v>
      </c>
      <c r="E19" s="241">
        <f>B19*I19/100</f>
        <v>25883.912999999997</v>
      </c>
      <c r="F19" s="241"/>
      <c r="G19" s="502">
        <v>86</v>
      </c>
      <c r="H19" s="502">
        <v>10.7</v>
      </c>
      <c r="I19" s="502">
        <v>3.3</v>
      </c>
      <c r="J19" s="503">
        <f t="shared" si="1"/>
        <v>100</v>
      </c>
    </row>
    <row r="20" spans="1:14" s="284" customFormat="1" ht="22.5" customHeight="1" thickBot="1" x14ac:dyDescent="0.25">
      <c r="A20" s="242" t="s">
        <v>87</v>
      </c>
      <c r="B20" s="237">
        <f>'17'!C19</f>
        <v>1562056</v>
      </c>
      <c r="C20" s="241">
        <f>B20*G20/100</f>
        <v>1171542</v>
      </c>
      <c r="D20" s="241">
        <f>B20*H20/100</f>
        <v>312411.2</v>
      </c>
      <c r="E20" s="241">
        <f>B20*I20/100</f>
        <v>78102.8</v>
      </c>
      <c r="F20" s="237"/>
      <c r="G20" s="597">
        <v>75</v>
      </c>
      <c r="H20" s="597">
        <v>20</v>
      </c>
      <c r="I20" s="597">
        <v>5</v>
      </c>
      <c r="J20" s="503">
        <f t="shared" si="1"/>
        <v>100</v>
      </c>
    </row>
    <row r="21" spans="1:14" s="232" customFormat="1" ht="22.5" customHeight="1" thickTop="1" thickBot="1" x14ac:dyDescent="0.25">
      <c r="A21" s="251" t="s">
        <v>309</v>
      </c>
      <c r="B21" s="254">
        <f>SUM(B5:B20)</f>
        <v>15795940</v>
      </c>
      <c r="C21" s="254">
        <f>SUM(C5:C20)</f>
        <v>13601581.311999999</v>
      </c>
      <c r="D21" s="254">
        <f>SUM(D5:D20)</f>
        <v>1064494.8861999998</v>
      </c>
      <c r="E21" s="254">
        <f>SUM(E5:E20)</f>
        <v>1129863.3018000002</v>
      </c>
      <c r="F21" s="254"/>
      <c r="G21" s="363">
        <f>C21/B21*100</f>
        <v>86.108084178592719</v>
      </c>
      <c r="H21" s="363">
        <f>D21/B21*100</f>
        <v>6.7390410839747421</v>
      </c>
      <c r="I21" s="363">
        <f>E21/B21*100</f>
        <v>7.1528715720621898</v>
      </c>
      <c r="J21" s="363">
        <f t="shared" si="1"/>
        <v>99.999996834629655</v>
      </c>
    </row>
    <row r="22" spans="1:14" s="232" customFormat="1" ht="15.75" customHeight="1" thickTop="1" x14ac:dyDescent="0.25">
      <c r="A22" s="845"/>
      <c r="B22" s="845"/>
      <c r="C22" s="845"/>
      <c r="D22" s="845"/>
      <c r="E22" s="845"/>
      <c r="F22" s="396"/>
      <c r="G22"/>
      <c r="H22"/>
      <c r="I22"/>
      <c r="J22" s="243"/>
      <c r="K22" s="235"/>
      <c r="L22" s="234"/>
      <c r="M22" s="234"/>
    </row>
    <row r="23" spans="1:14" s="232" customFormat="1" ht="19.5" customHeight="1" x14ac:dyDescent="0.2">
      <c r="A23" s="844" t="s">
        <v>322</v>
      </c>
      <c r="B23" s="844"/>
      <c r="C23" s="844"/>
      <c r="D23" s="844"/>
      <c r="E23" s="844"/>
      <c r="F23" s="844"/>
      <c r="G23" s="844"/>
      <c r="H23" s="844"/>
      <c r="I23" s="844"/>
      <c r="J23" s="844"/>
      <c r="K23" s="844"/>
      <c r="L23" s="844"/>
      <c r="M23" s="844"/>
      <c r="N23" s="234"/>
    </row>
    <row r="24" spans="1:14" s="232" customFormat="1" ht="19.5" customHeight="1" thickBot="1" x14ac:dyDescent="0.25">
      <c r="A24" s="827" t="s">
        <v>323</v>
      </c>
      <c r="B24" s="827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234"/>
    </row>
    <row r="25" spans="1:14" ht="21.75" customHeight="1" x14ac:dyDescent="0.2">
      <c r="A25" s="823" t="s">
        <v>253</v>
      </c>
      <c r="B25" s="823"/>
      <c r="C25" s="823"/>
      <c r="D25" s="823"/>
      <c r="E25" s="823"/>
      <c r="F25" s="478"/>
      <c r="G25" s="281"/>
      <c r="H25" s="281"/>
      <c r="I25" s="281"/>
      <c r="J25" s="311">
        <v>36</v>
      </c>
    </row>
    <row r="30" spans="1:14" x14ac:dyDescent="0.2">
      <c r="C30" s="440"/>
    </row>
    <row r="31" spans="1:14" x14ac:dyDescent="0.2">
      <c r="C31" s="440"/>
    </row>
    <row r="32" spans="1:14" x14ac:dyDescent="0.2">
      <c r="C32" s="440"/>
    </row>
    <row r="33" spans="3:3" x14ac:dyDescent="0.2">
      <c r="C33" s="440"/>
    </row>
    <row r="34" spans="3:3" x14ac:dyDescent="0.2">
      <c r="C34" s="440"/>
    </row>
    <row r="35" spans="3:3" x14ac:dyDescent="0.2">
      <c r="C35" s="440"/>
    </row>
    <row r="36" spans="3:3" x14ac:dyDescent="0.2">
      <c r="C36" s="440"/>
    </row>
    <row r="37" spans="3:3" x14ac:dyDescent="0.2">
      <c r="C37" s="440"/>
    </row>
    <row r="38" spans="3:3" x14ac:dyDescent="0.2">
      <c r="C38" s="440"/>
    </row>
    <row r="39" spans="3:3" x14ac:dyDescent="0.2">
      <c r="C39" s="440"/>
    </row>
    <row r="40" spans="3:3" x14ac:dyDescent="0.2">
      <c r="C40" s="440"/>
    </row>
    <row r="41" spans="3:3" x14ac:dyDescent="0.2">
      <c r="C41" s="440"/>
    </row>
    <row r="42" spans="3:3" x14ac:dyDescent="0.2">
      <c r="C42" s="440"/>
    </row>
    <row r="43" spans="3:3" x14ac:dyDescent="0.2">
      <c r="C43" s="440"/>
    </row>
    <row r="44" spans="3:3" x14ac:dyDescent="0.2">
      <c r="C44" s="440"/>
    </row>
    <row r="45" spans="3:3" x14ac:dyDescent="0.2">
      <c r="C45" s="440"/>
    </row>
  </sheetData>
  <mergeCells count="11">
    <mergeCell ref="A25:E25"/>
    <mergeCell ref="A1:J1"/>
    <mergeCell ref="A2:J2"/>
    <mergeCell ref="A3:A4"/>
    <mergeCell ref="C3:E3"/>
    <mergeCell ref="F3:F4"/>
    <mergeCell ref="G3:J3"/>
    <mergeCell ref="A23:M23"/>
    <mergeCell ref="A24:M24"/>
    <mergeCell ref="A22:E22"/>
    <mergeCell ref="B3:B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31"/>
  <sheetViews>
    <sheetView rightToLeft="1" view="pageBreakPreview" zoomScaleSheetLayoutView="100" workbookViewId="0">
      <selection activeCell="B1" sqref="B1:E1"/>
    </sheetView>
  </sheetViews>
  <sheetFormatPr defaultColWidth="10.42578125" defaultRowHeight="14.25" x14ac:dyDescent="0.2"/>
  <cols>
    <col min="1" max="1" width="4.85546875" style="279" customWidth="1"/>
    <col min="2" max="2" width="39.28515625" style="279" customWidth="1"/>
    <col min="3" max="3" width="12.140625" style="279" customWidth="1"/>
    <col min="4" max="4" width="10.7109375" style="279" customWidth="1"/>
    <col min="5" max="5" width="62.7109375" style="279" customWidth="1"/>
    <col min="6" max="16384" width="10.42578125" style="279"/>
  </cols>
  <sheetData>
    <row r="1" spans="1:5" ht="29.25" customHeight="1" x14ac:dyDescent="0.2">
      <c r="B1" s="858" t="s">
        <v>456</v>
      </c>
      <c r="C1" s="858"/>
      <c r="D1" s="858"/>
      <c r="E1" s="858"/>
    </row>
    <row r="2" spans="1:5" ht="29.25" customHeight="1" thickBot="1" x14ac:dyDescent="0.25">
      <c r="B2" s="859" t="s">
        <v>430</v>
      </c>
      <c r="C2" s="859"/>
      <c r="D2" s="859"/>
      <c r="E2" s="859"/>
    </row>
    <row r="3" spans="1:5" ht="42" customHeight="1" thickTop="1" x14ac:dyDescent="0.2">
      <c r="B3" s="315" t="s">
        <v>294</v>
      </c>
      <c r="C3" s="315" t="s">
        <v>295</v>
      </c>
      <c r="D3" s="316" t="s">
        <v>221</v>
      </c>
      <c r="E3" s="316" t="s">
        <v>296</v>
      </c>
    </row>
    <row r="4" spans="1:5" s="232" customFormat="1" ht="22.5" customHeight="1" x14ac:dyDescent="0.55000000000000004">
      <c r="B4" s="381" t="s">
        <v>297</v>
      </c>
      <c r="C4" s="369">
        <v>9</v>
      </c>
      <c r="D4" s="534">
        <f>C4/16*100</f>
        <v>56.25</v>
      </c>
      <c r="E4" s="366" t="s">
        <v>462</v>
      </c>
    </row>
    <row r="5" spans="1:5" s="232" customFormat="1" ht="25.5" x14ac:dyDescent="0.55000000000000004">
      <c r="B5" s="382" t="s">
        <v>298</v>
      </c>
      <c r="C5" s="370">
        <v>12</v>
      </c>
      <c r="D5" s="375">
        <f t="shared" ref="D5:D18" si="0">C5/16*100</f>
        <v>75</v>
      </c>
      <c r="E5" s="367" t="s">
        <v>472</v>
      </c>
    </row>
    <row r="6" spans="1:5" s="232" customFormat="1" ht="21" x14ac:dyDescent="0.55000000000000004">
      <c r="B6" s="382" t="s">
        <v>299</v>
      </c>
      <c r="C6" s="371">
        <v>10</v>
      </c>
      <c r="D6" s="375">
        <f t="shared" si="0"/>
        <v>62.5</v>
      </c>
      <c r="E6" s="367" t="s">
        <v>464</v>
      </c>
    </row>
    <row r="7" spans="1:5" s="232" customFormat="1" ht="21" x14ac:dyDescent="0.55000000000000004">
      <c r="B7" s="382" t="s">
        <v>300</v>
      </c>
      <c r="C7" s="371">
        <v>10</v>
      </c>
      <c r="D7" s="375">
        <f t="shared" si="0"/>
        <v>62.5</v>
      </c>
      <c r="E7" s="367" t="s">
        <v>473</v>
      </c>
    </row>
    <row r="8" spans="1:5" s="232" customFormat="1" ht="30.75" customHeight="1" x14ac:dyDescent="0.55000000000000004">
      <c r="B8" s="382" t="s">
        <v>301</v>
      </c>
      <c r="C8" s="371">
        <v>12</v>
      </c>
      <c r="D8" s="375">
        <f t="shared" si="0"/>
        <v>75</v>
      </c>
      <c r="E8" s="367" t="s">
        <v>474</v>
      </c>
    </row>
    <row r="9" spans="1:5" s="232" customFormat="1" ht="22.5" customHeight="1" x14ac:dyDescent="0.55000000000000004">
      <c r="B9" s="383" t="s">
        <v>302</v>
      </c>
      <c r="C9" s="371">
        <v>5</v>
      </c>
      <c r="D9" s="375">
        <f t="shared" si="0"/>
        <v>31.25</v>
      </c>
      <c r="E9" s="367" t="s">
        <v>463</v>
      </c>
    </row>
    <row r="10" spans="1:5" s="238" customFormat="1" ht="22.5" customHeight="1" x14ac:dyDescent="0.55000000000000004">
      <c r="A10" s="232"/>
      <c r="B10" s="382" t="s">
        <v>303</v>
      </c>
      <c r="C10" s="371">
        <v>9</v>
      </c>
      <c r="D10" s="375">
        <f t="shared" si="0"/>
        <v>56.25</v>
      </c>
      <c r="E10" s="367" t="s">
        <v>475</v>
      </c>
    </row>
    <row r="11" spans="1:5" s="238" customFormat="1" ht="22.5" customHeight="1" x14ac:dyDescent="0.55000000000000004">
      <c r="A11" s="232"/>
      <c r="B11" s="382" t="s">
        <v>304</v>
      </c>
      <c r="C11" s="372">
        <v>7</v>
      </c>
      <c r="D11" s="375">
        <f t="shared" si="0"/>
        <v>43.75</v>
      </c>
      <c r="E11" s="367" t="s">
        <v>465</v>
      </c>
    </row>
    <row r="12" spans="1:5" s="238" customFormat="1" ht="22.5" customHeight="1" x14ac:dyDescent="0.55000000000000004">
      <c r="A12" s="232"/>
      <c r="B12" s="382" t="s">
        <v>305</v>
      </c>
      <c r="C12" s="372">
        <v>1</v>
      </c>
      <c r="D12" s="375">
        <f t="shared" si="0"/>
        <v>6.25</v>
      </c>
      <c r="E12" s="368" t="s">
        <v>461</v>
      </c>
    </row>
    <row r="13" spans="1:5" s="238" customFormat="1" ht="27.75" customHeight="1" x14ac:dyDescent="0.55000000000000004">
      <c r="A13" s="232"/>
      <c r="B13" s="382" t="s">
        <v>306</v>
      </c>
      <c r="C13" s="372">
        <v>16</v>
      </c>
      <c r="D13" s="375">
        <f t="shared" si="0"/>
        <v>100</v>
      </c>
      <c r="E13" s="367" t="s">
        <v>504</v>
      </c>
    </row>
    <row r="14" spans="1:5" s="238" customFormat="1" ht="27.75" customHeight="1" x14ac:dyDescent="0.55000000000000004">
      <c r="A14" s="232"/>
      <c r="B14" s="384" t="s">
        <v>307</v>
      </c>
      <c r="C14" s="372">
        <v>15</v>
      </c>
      <c r="D14" s="375">
        <f t="shared" si="0"/>
        <v>93.75</v>
      </c>
      <c r="E14" s="367" t="s">
        <v>505</v>
      </c>
    </row>
    <row r="15" spans="1:5" s="238" customFormat="1" ht="27.75" customHeight="1" x14ac:dyDescent="0.55000000000000004">
      <c r="A15" s="232"/>
      <c r="B15" s="382" t="s">
        <v>308</v>
      </c>
      <c r="C15" s="372">
        <v>16</v>
      </c>
      <c r="D15" s="375">
        <f t="shared" si="0"/>
        <v>100</v>
      </c>
      <c r="E15" s="367" t="s">
        <v>504</v>
      </c>
    </row>
    <row r="16" spans="1:5" s="238" customFormat="1" ht="21" x14ac:dyDescent="0.55000000000000004">
      <c r="A16" s="232"/>
      <c r="B16" s="385" t="s">
        <v>319</v>
      </c>
      <c r="C16" s="374">
        <v>13</v>
      </c>
      <c r="D16" s="375">
        <f t="shared" si="0"/>
        <v>81.25</v>
      </c>
      <c r="E16" s="367" t="s">
        <v>506</v>
      </c>
    </row>
    <row r="17" spans="1:16" s="238" customFormat="1" ht="22.5" customHeight="1" x14ac:dyDescent="0.55000000000000004">
      <c r="A17" s="232"/>
      <c r="B17" s="385" t="s">
        <v>346</v>
      </c>
      <c r="C17" s="374">
        <v>5</v>
      </c>
      <c r="D17" s="375">
        <f t="shared" si="0"/>
        <v>31.25</v>
      </c>
      <c r="E17" s="376" t="s">
        <v>499</v>
      </c>
    </row>
    <row r="18" spans="1:16" s="238" customFormat="1" ht="22.5" customHeight="1" thickBot="1" x14ac:dyDescent="0.6">
      <c r="A18" s="232"/>
      <c r="B18" s="386" t="s">
        <v>314</v>
      </c>
      <c r="C18" s="373">
        <v>3</v>
      </c>
      <c r="D18" s="442">
        <f t="shared" si="0"/>
        <v>18.75</v>
      </c>
      <c r="E18" s="377" t="s">
        <v>498</v>
      </c>
    </row>
    <row r="19" spans="1:16" s="232" customFormat="1" ht="22.5" customHeight="1" thickTop="1" x14ac:dyDescent="0.2">
      <c r="B19" s="844" t="s">
        <v>322</v>
      </c>
      <c r="C19" s="844"/>
      <c r="D19" s="844"/>
      <c r="E19" s="844"/>
      <c r="F19" s="844"/>
      <c r="G19" s="844"/>
      <c r="H19" s="844"/>
      <c r="I19" s="844"/>
      <c r="J19" s="844"/>
      <c r="K19" s="844"/>
      <c r="L19" s="844"/>
      <c r="M19" s="844"/>
      <c r="N19" s="844"/>
      <c r="O19" s="844"/>
      <c r="P19" s="234"/>
    </row>
    <row r="20" spans="1:16" s="232" customFormat="1" ht="22.5" customHeight="1" x14ac:dyDescent="0.2">
      <c r="B20" s="827" t="s">
        <v>323</v>
      </c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  <c r="N20" s="827"/>
      <c r="O20" s="827"/>
      <c r="P20" s="234"/>
    </row>
    <row r="21" spans="1:16" s="232" customFormat="1" ht="22.5" customHeight="1" thickBot="1" x14ac:dyDescent="0.25"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234"/>
    </row>
    <row r="22" spans="1:16" ht="22.5" customHeight="1" x14ac:dyDescent="0.2">
      <c r="B22" s="362" t="s">
        <v>253</v>
      </c>
      <c r="C22" s="362"/>
      <c r="D22" s="362"/>
      <c r="E22" s="362">
        <v>37</v>
      </c>
    </row>
    <row r="25" spans="1:16" x14ac:dyDescent="0.2">
      <c r="E25" s="366"/>
    </row>
    <row r="26" spans="1:16" x14ac:dyDescent="0.2">
      <c r="E26" s="367"/>
    </row>
    <row r="27" spans="1:16" x14ac:dyDescent="0.2">
      <c r="E27" s="367"/>
    </row>
    <row r="28" spans="1:16" x14ac:dyDescent="0.2">
      <c r="E28" s="367"/>
    </row>
    <row r="29" spans="1:16" x14ac:dyDescent="0.2">
      <c r="E29" s="367"/>
    </row>
    <row r="30" spans="1:16" x14ac:dyDescent="0.2">
      <c r="E30" s="367"/>
    </row>
    <row r="31" spans="1:16" x14ac:dyDescent="0.2">
      <c r="E31" s="367"/>
    </row>
  </sheetData>
  <mergeCells count="4">
    <mergeCell ref="B1:E1"/>
    <mergeCell ref="B2:E2"/>
    <mergeCell ref="B19:O19"/>
    <mergeCell ref="B20:O2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29"/>
  <sheetViews>
    <sheetView rightToLeft="1" view="pageBreakPreview" zoomScale="110" zoomScaleNormal="100" zoomScaleSheetLayoutView="110" workbookViewId="0">
      <selection activeCell="B1" sqref="B1:E1"/>
    </sheetView>
  </sheetViews>
  <sheetFormatPr defaultColWidth="9.140625" defaultRowHeight="21.75" customHeight="1" x14ac:dyDescent="0.25"/>
  <cols>
    <col min="1" max="1" width="1.28515625" style="45" customWidth="1"/>
    <col min="2" max="5" width="18.42578125" style="45" customWidth="1"/>
    <col min="6" max="6" width="13" style="45" customWidth="1"/>
    <col min="7" max="7" width="13.5703125" style="45" customWidth="1"/>
    <col min="8" max="8" width="1.140625" style="45" customWidth="1"/>
    <col min="9" max="9" width="17.28515625" style="45" customWidth="1"/>
    <col min="10" max="10" width="1.140625" style="45" customWidth="1"/>
    <col min="11" max="11" width="15.7109375" style="45" customWidth="1"/>
    <col min="12" max="12" width="0.85546875" style="45" customWidth="1"/>
    <col min="13" max="13" width="4.85546875" style="45" customWidth="1"/>
    <col min="14" max="14" width="14.140625" style="45" customWidth="1"/>
    <col min="15" max="16384" width="9.140625" style="45"/>
  </cols>
  <sheetData>
    <row r="1" spans="2:5" ht="45" customHeight="1" x14ac:dyDescent="0.25">
      <c r="B1" s="765" t="s">
        <v>511</v>
      </c>
      <c r="C1" s="765"/>
      <c r="D1" s="765"/>
      <c r="E1" s="765"/>
    </row>
    <row r="2" spans="2:5" s="156" customFormat="1" ht="27" customHeight="1" thickBot="1" x14ac:dyDescent="0.3">
      <c r="B2" s="766" t="s">
        <v>388</v>
      </c>
      <c r="C2" s="766"/>
      <c r="D2" s="766"/>
      <c r="E2" s="766"/>
    </row>
    <row r="3" spans="2:5" s="11" customFormat="1" ht="37.5" customHeight="1" thickTop="1" x14ac:dyDescent="0.25">
      <c r="B3" s="166" t="s">
        <v>74</v>
      </c>
      <c r="C3" s="166" t="s">
        <v>363</v>
      </c>
      <c r="D3" s="166" t="s">
        <v>364</v>
      </c>
      <c r="E3" s="166" t="s">
        <v>365</v>
      </c>
    </row>
    <row r="4" spans="2:5" s="11" customFormat="1" ht="27.75" customHeight="1" x14ac:dyDescent="0.25">
      <c r="B4" s="231" t="s">
        <v>75</v>
      </c>
      <c r="C4" s="738">
        <v>2635</v>
      </c>
      <c r="D4" s="738">
        <v>266</v>
      </c>
      <c r="E4" s="652">
        <f t="shared" ref="E4:E18" si="0">D4/C4*100</f>
        <v>10.094876660341557</v>
      </c>
    </row>
    <row r="5" spans="2:5" s="11" customFormat="1" ht="27.75" customHeight="1" x14ac:dyDescent="0.25">
      <c r="B5" s="231" t="s">
        <v>76</v>
      </c>
      <c r="C5" s="739">
        <v>2429</v>
      </c>
      <c r="D5" s="739">
        <v>175</v>
      </c>
      <c r="E5" s="652">
        <f t="shared" si="0"/>
        <v>7.2046109510086458</v>
      </c>
    </row>
    <row r="6" spans="2:5" s="11" customFormat="1" ht="27.75" customHeight="1" x14ac:dyDescent="0.25">
      <c r="B6" s="233" t="s">
        <v>77</v>
      </c>
      <c r="C6" s="739">
        <v>4020</v>
      </c>
      <c r="D6" s="739">
        <v>667</v>
      </c>
      <c r="E6" s="652">
        <f t="shared" si="0"/>
        <v>16.592039800995025</v>
      </c>
    </row>
    <row r="7" spans="2:5" s="11" customFormat="1" ht="27.75" customHeight="1" x14ac:dyDescent="0.25">
      <c r="B7" s="233" t="s">
        <v>330</v>
      </c>
      <c r="C7" s="740" t="s">
        <v>316</v>
      </c>
      <c r="D7" s="740" t="s">
        <v>316</v>
      </c>
      <c r="E7" s="652" t="s">
        <v>316</v>
      </c>
    </row>
    <row r="8" spans="2:5" s="11" customFormat="1" ht="27.75" customHeight="1" x14ac:dyDescent="0.25">
      <c r="B8" s="236" t="s">
        <v>366</v>
      </c>
      <c r="C8" s="739">
        <v>5224</v>
      </c>
      <c r="D8" s="739">
        <v>696</v>
      </c>
      <c r="E8" s="652">
        <f t="shared" si="0"/>
        <v>13.323124042879019</v>
      </c>
    </row>
    <row r="9" spans="2:5" s="11" customFormat="1" ht="27.75" customHeight="1" x14ac:dyDescent="0.25">
      <c r="B9" s="236" t="s">
        <v>81</v>
      </c>
      <c r="C9" s="739">
        <v>3764</v>
      </c>
      <c r="D9" s="739">
        <v>426</v>
      </c>
      <c r="E9" s="652">
        <f t="shared" si="0"/>
        <v>11.317747077577046</v>
      </c>
    </row>
    <row r="10" spans="2:5" s="11" customFormat="1" ht="27.75" customHeight="1" x14ac:dyDescent="0.25">
      <c r="B10" s="236" t="s">
        <v>73</v>
      </c>
      <c r="C10" s="739">
        <v>2628</v>
      </c>
      <c r="D10" s="739">
        <v>473</v>
      </c>
      <c r="E10" s="652">
        <f t="shared" si="0"/>
        <v>17.99847792998478</v>
      </c>
    </row>
    <row r="11" spans="2:5" s="11" customFormat="1" ht="27.75" customHeight="1" x14ac:dyDescent="0.25">
      <c r="B11" s="236" t="s">
        <v>80</v>
      </c>
      <c r="C11" s="739">
        <v>2518</v>
      </c>
      <c r="D11" s="739">
        <v>788</v>
      </c>
      <c r="E11" s="652">
        <f t="shared" si="0"/>
        <v>31.294678316123907</v>
      </c>
    </row>
    <row r="12" spans="2:5" s="11" customFormat="1" ht="27.75" customHeight="1" x14ac:dyDescent="0.25">
      <c r="B12" s="239" t="s">
        <v>78</v>
      </c>
      <c r="C12" s="739" t="s">
        <v>316</v>
      </c>
      <c r="D12" s="739" t="s">
        <v>316</v>
      </c>
      <c r="E12" s="652" t="s">
        <v>316</v>
      </c>
    </row>
    <row r="13" spans="2:5" s="11" customFormat="1" ht="27.75" customHeight="1" x14ac:dyDescent="0.25">
      <c r="B13" s="239" t="s">
        <v>82</v>
      </c>
      <c r="C13" s="739">
        <v>2396</v>
      </c>
      <c r="D13" s="739">
        <v>628</v>
      </c>
      <c r="E13" s="652">
        <f t="shared" si="0"/>
        <v>26.210350584307179</v>
      </c>
    </row>
    <row r="14" spans="2:5" s="11" customFormat="1" ht="27.75" customHeight="1" x14ac:dyDescent="0.25">
      <c r="B14" s="239" t="s">
        <v>83</v>
      </c>
      <c r="C14" s="739">
        <v>3362</v>
      </c>
      <c r="D14" s="739">
        <v>560</v>
      </c>
      <c r="E14" s="652">
        <f t="shared" si="0"/>
        <v>16.656751933372995</v>
      </c>
    </row>
    <row r="15" spans="2:5" s="11" customFormat="1" ht="27.75" customHeight="1" x14ac:dyDescent="0.25">
      <c r="B15" s="239" t="s">
        <v>84</v>
      </c>
      <c r="C15" s="739">
        <v>1037</v>
      </c>
      <c r="D15" s="739">
        <v>127</v>
      </c>
      <c r="E15" s="652">
        <f t="shared" si="0"/>
        <v>12.246865959498553</v>
      </c>
    </row>
    <row r="16" spans="2:5" s="11" customFormat="1" ht="27.75" customHeight="1" x14ac:dyDescent="0.25">
      <c r="B16" s="239" t="s">
        <v>85</v>
      </c>
      <c r="C16" s="739">
        <v>2306</v>
      </c>
      <c r="D16" s="739">
        <v>1790</v>
      </c>
      <c r="E16" s="652">
        <f t="shared" si="0"/>
        <v>77.623590633130974</v>
      </c>
    </row>
    <row r="17" spans="2:14" s="11" customFormat="1" ht="27.75" customHeight="1" x14ac:dyDescent="0.25">
      <c r="B17" s="239" t="s">
        <v>86</v>
      </c>
      <c r="C17" s="739">
        <v>895</v>
      </c>
      <c r="D17" s="739">
        <v>58</v>
      </c>
      <c r="E17" s="652">
        <v>6.4</v>
      </c>
    </row>
    <row r="18" spans="2:14" s="11" customFormat="1" ht="27.75" customHeight="1" thickBot="1" x14ac:dyDescent="0.3">
      <c r="B18" s="242" t="s">
        <v>87</v>
      </c>
      <c r="C18" s="739">
        <v>1413</v>
      </c>
      <c r="D18" s="739">
        <v>1</v>
      </c>
      <c r="E18" s="652">
        <f t="shared" si="0"/>
        <v>7.0771408351026188E-2</v>
      </c>
    </row>
    <row r="19" spans="2:14" s="11" customFormat="1" ht="27.75" customHeight="1" thickTop="1" thickBot="1" x14ac:dyDescent="0.3">
      <c r="B19" s="251" t="s">
        <v>309</v>
      </c>
      <c r="C19" s="741">
        <f>SUM(C4:C18)</f>
        <v>34627</v>
      </c>
      <c r="D19" s="741">
        <f>SUM(D4:D18)</f>
        <v>6655</v>
      </c>
      <c r="E19" s="742">
        <f>D19/C19*100</f>
        <v>19.219106477604182</v>
      </c>
    </row>
    <row r="20" spans="2:14" s="11" customFormat="1" ht="27.75" customHeight="1" thickTop="1" x14ac:dyDescent="0.25">
      <c r="B20" s="703" t="s">
        <v>273</v>
      </c>
      <c r="C20" s="703"/>
      <c r="D20" s="710"/>
      <c r="E20" s="711"/>
      <c r="F20" s="420"/>
      <c r="G20" s="420"/>
      <c r="H20" s="420"/>
      <c r="I20" s="420"/>
      <c r="J20" s="420"/>
      <c r="K20" s="420"/>
      <c r="L20" s="420"/>
      <c r="M20" s="420"/>
      <c r="N20" s="420"/>
    </row>
    <row r="21" spans="2:14" s="420" customFormat="1" ht="27.75" customHeight="1" x14ac:dyDescent="0.25">
      <c r="B21" s="768" t="s">
        <v>399</v>
      </c>
      <c r="C21" s="768"/>
      <c r="D21" s="768"/>
      <c r="E21" s="768"/>
    </row>
    <row r="22" spans="2:14" s="11" customFormat="1" ht="21.75" customHeight="1" x14ac:dyDescent="0.25">
      <c r="B22" s="489"/>
      <c r="C22" s="489"/>
      <c r="D22" s="491"/>
      <c r="E22" s="421"/>
      <c r="F22" s="420"/>
      <c r="G22" s="420"/>
      <c r="H22" s="420"/>
      <c r="I22" s="420"/>
      <c r="J22" s="420"/>
      <c r="K22" s="420"/>
      <c r="L22" s="420"/>
      <c r="M22" s="420"/>
      <c r="N22" s="420"/>
    </row>
    <row r="23" spans="2:14" s="11" customFormat="1" ht="21.75" customHeight="1" x14ac:dyDescent="0.25">
      <c r="B23" s="489"/>
      <c r="C23" s="489"/>
      <c r="D23" s="491"/>
      <c r="E23" s="421"/>
      <c r="F23" s="420"/>
      <c r="G23" s="420"/>
      <c r="H23" s="420"/>
      <c r="I23" s="420"/>
      <c r="J23" s="420"/>
      <c r="K23" s="420"/>
      <c r="L23" s="420"/>
      <c r="M23" s="420"/>
      <c r="N23" s="420"/>
    </row>
    <row r="24" spans="2:14" s="11" customFormat="1" ht="21.75" customHeight="1" x14ac:dyDescent="0.25">
      <c r="B24" s="489"/>
      <c r="C24" s="489"/>
      <c r="D24" s="491"/>
      <c r="E24" s="421"/>
      <c r="F24" s="420"/>
      <c r="G24" s="420"/>
      <c r="H24" s="420"/>
      <c r="I24" s="420"/>
      <c r="J24" s="420"/>
      <c r="K24" s="420"/>
      <c r="L24" s="420"/>
      <c r="M24" s="420"/>
      <c r="N24" s="420"/>
    </row>
    <row r="25" spans="2:14" s="11" customFormat="1" ht="21.75" customHeight="1" x14ac:dyDescent="0.25">
      <c r="B25" s="489"/>
      <c r="C25" s="489"/>
      <c r="D25" s="491"/>
      <c r="E25" s="421"/>
      <c r="F25" s="420"/>
      <c r="G25" s="420"/>
      <c r="H25" s="420"/>
      <c r="I25" s="420"/>
      <c r="J25" s="420"/>
      <c r="K25" s="420"/>
      <c r="L25" s="420"/>
      <c r="M25" s="420"/>
      <c r="N25" s="420"/>
    </row>
    <row r="26" spans="2:14" s="11" customFormat="1" ht="21.75" customHeight="1" x14ac:dyDescent="0.25">
      <c r="B26" s="489"/>
      <c r="C26" s="489"/>
      <c r="D26" s="491"/>
      <c r="E26" s="421"/>
      <c r="F26" s="420"/>
      <c r="G26" s="420"/>
      <c r="H26" s="420"/>
      <c r="I26" s="420"/>
      <c r="J26" s="420"/>
      <c r="K26" s="420"/>
      <c r="L26" s="420"/>
      <c r="M26" s="420"/>
      <c r="N26" s="420"/>
    </row>
    <row r="27" spans="2:14" s="11" customFormat="1" ht="21.75" customHeight="1" x14ac:dyDescent="0.25">
      <c r="B27" s="489"/>
      <c r="C27" s="489"/>
      <c r="D27" s="491"/>
      <c r="E27" s="421"/>
      <c r="F27" s="420"/>
      <c r="G27" s="420"/>
      <c r="H27" s="420"/>
      <c r="I27" s="420"/>
      <c r="J27" s="420"/>
      <c r="K27" s="420"/>
      <c r="L27" s="420"/>
      <c r="M27" s="420"/>
      <c r="N27" s="420"/>
    </row>
    <row r="28" spans="2:14" s="11" customFormat="1" ht="21.75" customHeight="1" x14ac:dyDescent="0.25">
      <c r="B28" s="489"/>
      <c r="C28" s="489"/>
      <c r="D28" s="491"/>
      <c r="E28" s="421"/>
      <c r="F28" s="420"/>
      <c r="G28" s="420"/>
      <c r="H28" s="420"/>
      <c r="I28" s="420"/>
      <c r="J28" s="420"/>
      <c r="K28" s="420"/>
      <c r="L28" s="420"/>
      <c r="M28" s="420"/>
      <c r="N28" s="420"/>
    </row>
    <row r="29" spans="2:14" s="11" customFormat="1" ht="21.75" customHeight="1" x14ac:dyDescent="0.25">
      <c r="B29" s="490" t="s">
        <v>228</v>
      </c>
      <c r="C29" s="490"/>
      <c r="D29" s="490"/>
      <c r="E29" s="487">
        <v>38</v>
      </c>
      <c r="F29" s="158"/>
      <c r="G29" s="420"/>
      <c r="H29" s="422"/>
      <c r="I29" s="423"/>
      <c r="J29" s="111"/>
      <c r="K29" s="111"/>
      <c r="L29" s="111">
        <v>61</v>
      </c>
    </row>
  </sheetData>
  <mergeCells count="3">
    <mergeCell ref="B1:E1"/>
    <mergeCell ref="B2:E2"/>
    <mergeCell ref="B21:E21"/>
  </mergeCells>
  <printOptions horizontalCentered="1"/>
  <pageMargins left="0.7" right="0.7" top="0.75" bottom="0.25" header="0.3" footer="0.3"/>
  <pageSetup paperSize="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22"/>
  <sheetViews>
    <sheetView rightToLeft="1" view="pageBreakPreview" zoomScaleSheetLayoutView="100" workbookViewId="0">
      <selection activeCell="B1" sqref="B1:L1"/>
    </sheetView>
  </sheetViews>
  <sheetFormatPr defaultRowHeight="15" x14ac:dyDescent="0.25"/>
  <cols>
    <col min="1" max="1" width="0.7109375" customWidth="1"/>
    <col min="2" max="2" width="12.5703125" customWidth="1"/>
    <col min="3" max="4" width="11.140625" customWidth="1"/>
    <col min="5" max="5" width="12.42578125" customWidth="1"/>
    <col min="6" max="6" width="11.140625" customWidth="1"/>
    <col min="7" max="7" width="12.7109375" customWidth="1"/>
    <col min="8" max="8" width="11.140625" customWidth="1"/>
    <col min="9" max="9" width="0.5703125" customWidth="1"/>
    <col min="10" max="10" width="18.85546875" customWidth="1"/>
    <col min="11" max="11" width="17.42578125" customWidth="1"/>
    <col min="12" max="12" width="17" customWidth="1"/>
  </cols>
  <sheetData>
    <row r="1" spans="2:15" ht="21" customHeight="1" x14ac:dyDescent="0.25">
      <c r="B1" s="869" t="s">
        <v>457</v>
      </c>
      <c r="C1" s="869"/>
      <c r="D1" s="869"/>
      <c r="E1" s="869"/>
      <c r="F1" s="869"/>
      <c r="G1" s="869"/>
      <c r="H1" s="869"/>
      <c r="I1" s="869"/>
      <c r="J1" s="869"/>
      <c r="K1" s="869"/>
      <c r="L1" s="869"/>
    </row>
    <row r="2" spans="2:15" ht="26.25" customHeight="1" thickBot="1" x14ac:dyDescent="0.3">
      <c r="B2" s="163" t="s">
        <v>389</v>
      </c>
      <c r="C2" s="32"/>
      <c r="D2" s="32"/>
      <c r="E2" s="32"/>
      <c r="F2" s="32"/>
      <c r="G2" s="32"/>
      <c r="H2" s="33"/>
      <c r="I2" s="35"/>
      <c r="L2" s="35" t="s">
        <v>92</v>
      </c>
    </row>
    <row r="3" spans="2:15" ht="30.75" customHeight="1" thickTop="1" x14ac:dyDescent="0.25">
      <c r="B3" s="871" t="s">
        <v>93</v>
      </c>
      <c r="C3" s="796" t="s">
        <v>108</v>
      </c>
      <c r="D3" s="796"/>
      <c r="E3" s="796"/>
      <c r="F3" s="796"/>
      <c r="G3" s="796"/>
      <c r="H3" s="796"/>
      <c r="I3" s="613"/>
      <c r="J3" s="870" t="s">
        <v>109</v>
      </c>
      <c r="K3" s="870"/>
      <c r="L3" s="870"/>
    </row>
    <row r="4" spans="2:15" ht="21" customHeight="1" x14ac:dyDescent="0.25">
      <c r="B4" s="872"/>
      <c r="C4" s="874" t="s">
        <v>94</v>
      </c>
      <c r="D4" s="874"/>
      <c r="E4" s="874" t="s">
        <v>95</v>
      </c>
      <c r="F4" s="874"/>
      <c r="G4" s="874" t="s">
        <v>96</v>
      </c>
      <c r="H4" s="874"/>
      <c r="I4" s="402"/>
      <c r="J4" s="615" t="s">
        <v>94</v>
      </c>
      <c r="K4" s="615" t="s">
        <v>107</v>
      </c>
      <c r="L4" s="615" t="s">
        <v>96</v>
      </c>
      <c r="M4" s="36"/>
      <c r="N4" s="36"/>
      <c r="O4" s="36"/>
    </row>
    <row r="5" spans="2:15" ht="20.25" customHeight="1" x14ac:dyDescent="0.25">
      <c r="B5" s="872"/>
      <c r="C5" s="875" t="s">
        <v>358</v>
      </c>
      <c r="D5" s="875"/>
      <c r="E5" s="876" t="s">
        <v>359</v>
      </c>
      <c r="F5" s="876"/>
      <c r="G5" s="876" t="s">
        <v>202</v>
      </c>
      <c r="H5" s="876"/>
      <c r="I5" s="403"/>
      <c r="J5" s="867" t="s">
        <v>360</v>
      </c>
      <c r="K5" s="867" t="s">
        <v>359</v>
      </c>
      <c r="L5" s="867" t="s">
        <v>202</v>
      </c>
      <c r="N5" s="88" t="s">
        <v>99</v>
      </c>
    </row>
    <row r="6" spans="2:15" ht="21" customHeight="1" x14ac:dyDescent="0.25">
      <c r="B6" s="873"/>
      <c r="C6" s="404" t="s">
        <v>97</v>
      </c>
      <c r="D6" s="404" t="s">
        <v>98</v>
      </c>
      <c r="E6" s="404" t="s">
        <v>97</v>
      </c>
      <c r="F6" s="404" t="s">
        <v>98</v>
      </c>
      <c r="G6" s="404" t="s">
        <v>97</v>
      </c>
      <c r="H6" s="404" t="s">
        <v>98</v>
      </c>
      <c r="I6" s="405"/>
      <c r="J6" s="868"/>
      <c r="K6" s="868"/>
      <c r="L6" s="868"/>
      <c r="N6" s="89" t="s">
        <v>100</v>
      </c>
    </row>
    <row r="7" spans="2:15" ht="29.25" customHeight="1" x14ac:dyDescent="0.25">
      <c r="B7" s="88" t="s">
        <v>99</v>
      </c>
      <c r="C7" s="85">
        <v>230</v>
      </c>
      <c r="D7" s="85">
        <v>3000</v>
      </c>
      <c r="E7" s="85">
        <v>40</v>
      </c>
      <c r="F7" s="85">
        <v>49000</v>
      </c>
      <c r="G7" s="85">
        <v>20</v>
      </c>
      <c r="H7" s="85">
        <v>1100</v>
      </c>
      <c r="I7" s="85"/>
      <c r="J7" s="85">
        <v>789</v>
      </c>
      <c r="K7" s="85">
        <v>2465</v>
      </c>
      <c r="L7" s="85">
        <v>181</v>
      </c>
      <c r="N7" s="89" t="s">
        <v>101</v>
      </c>
    </row>
    <row r="8" spans="2:15" ht="29.25" customHeight="1" x14ac:dyDescent="0.25">
      <c r="B8" s="89" t="s">
        <v>100</v>
      </c>
      <c r="C8" s="86">
        <v>290</v>
      </c>
      <c r="D8" s="86">
        <v>11000</v>
      </c>
      <c r="E8" s="86">
        <v>7900</v>
      </c>
      <c r="F8" s="86">
        <v>92000</v>
      </c>
      <c r="G8" s="86">
        <v>2600</v>
      </c>
      <c r="H8" s="86">
        <v>540000</v>
      </c>
      <c r="I8" s="86"/>
      <c r="J8" s="86">
        <v>7347</v>
      </c>
      <c r="K8" s="86">
        <v>44756</v>
      </c>
      <c r="L8" s="86">
        <v>30720</v>
      </c>
      <c r="N8" s="89" t="s">
        <v>102</v>
      </c>
    </row>
    <row r="9" spans="2:15" ht="29.25" customHeight="1" x14ac:dyDescent="0.25">
      <c r="B9" s="89" t="s">
        <v>406</v>
      </c>
      <c r="C9" s="86">
        <v>200</v>
      </c>
      <c r="D9" s="86">
        <v>6000</v>
      </c>
      <c r="E9" s="86">
        <v>490</v>
      </c>
      <c r="F9" s="86">
        <v>17000</v>
      </c>
      <c r="G9" s="86">
        <v>490</v>
      </c>
      <c r="H9" s="86">
        <v>24000</v>
      </c>
      <c r="I9" s="86"/>
      <c r="J9" s="86">
        <v>3122</v>
      </c>
      <c r="K9" s="86">
        <v>2601</v>
      </c>
      <c r="L9" s="86">
        <v>1519</v>
      </c>
      <c r="N9" s="89"/>
    </row>
    <row r="10" spans="2:15" ht="29.25" customHeight="1" x14ac:dyDescent="0.25">
      <c r="B10" s="89" t="s">
        <v>101</v>
      </c>
      <c r="C10" s="86">
        <v>290</v>
      </c>
      <c r="D10" s="86">
        <v>2750</v>
      </c>
      <c r="E10" s="86">
        <v>490</v>
      </c>
      <c r="F10" s="86">
        <v>54000</v>
      </c>
      <c r="G10" s="86">
        <v>490</v>
      </c>
      <c r="H10" s="86">
        <v>24000</v>
      </c>
      <c r="I10" s="86"/>
      <c r="J10" s="86">
        <v>944</v>
      </c>
      <c r="K10" s="86">
        <v>6274</v>
      </c>
      <c r="L10" s="86">
        <v>3912</v>
      </c>
      <c r="N10" s="89" t="s">
        <v>103</v>
      </c>
    </row>
    <row r="11" spans="2:15" ht="29.25" customHeight="1" x14ac:dyDescent="0.25">
      <c r="B11" s="89" t="s">
        <v>232</v>
      </c>
      <c r="C11" s="86">
        <v>850</v>
      </c>
      <c r="D11" s="86">
        <v>198000</v>
      </c>
      <c r="E11" s="86">
        <v>1100</v>
      </c>
      <c r="F11" s="86">
        <v>220000</v>
      </c>
      <c r="G11" s="86">
        <v>1100</v>
      </c>
      <c r="H11" s="86">
        <v>220000</v>
      </c>
      <c r="I11" s="86"/>
      <c r="J11" s="86">
        <v>12630</v>
      </c>
      <c r="K11" s="86">
        <v>20168</v>
      </c>
      <c r="L11" s="86">
        <v>18304</v>
      </c>
      <c r="N11" s="89" t="s">
        <v>83</v>
      </c>
    </row>
    <row r="12" spans="2:15" ht="29.25" customHeight="1" x14ac:dyDescent="0.25">
      <c r="B12" s="89" t="s">
        <v>103</v>
      </c>
      <c r="C12" s="86">
        <v>1000</v>
      </c>
      <c r="D12" s="86">
        <v>12000</v>
      </c>
      <c r="E12" s="86">
        <v>6900</v>
      </c>
      <c r="F12" s="86">
        <v>790000</v>
      </c>
      <c r="G12" s="86">
        <v>3300</v>
      </c>
      <c r="H12" s="86">
        <v>490000</v>
      </c>
      <c r="I12" s="86"/>
      <c r="J12" s="86">
        <v>6675</v>
      </c>
      <c r="K12" s="86">
        <v>21650</v>
      </c>
      <c r="L12" s="86">
        <v>14980</v>
      </c>
      <c r="N12" s="89" t="s">
        <v>104</v>
      </c>
    </row>
    <row r="13" spans="2:15" ht="29.25" customHeight="1" x14ac:dyDescent="0.25">
      <c r="B13" s="89" t="s">
        <v>102</v>
      </c>
      <c r="C13" s="86">
        <v>1500</v>
      </c>
      <c r="D13" s="86">
        <v>20000</v>
      </c>
      <c r="E13" s="86">
        <v>2300</v>
      </c>
      <c r="F13" s="86">
        <v>49000</v>
      </c>
      <c r="G13" s="86">
        <v>490</v>
      </c>
      <c r="H13" s="86">
        <v>130000</v>
      </c>
      <c r="I13" s="86"/>
      <c r="J13" s="86">
        <v>5283</v>
      </c>
      <c r="K13" s="86">
        <v>14600</v>
      </c>
      <c r="L13" s="86">
        <v>10391</v>
      </c>
      <c r="N13" s="90" t="s">
        <v>105</v>
      </c>
    </row>
    <row r="14" spans="2:15" ht="29.25" customHeight="1" thickBot="1" x14ac:dyDescent="0.3">
      <c r="B14" s="89" t="s">
        <v>207</v>
      </c>
      <c r="C14" s="86">
        <v>100</v>
      </c>
      <c r="D14" s="86">
        <v>3800</v>
      </c>
      <c r="E14" s="86">
        <v>2600</v>
      </c>
      <c r="F14" s="86">
        <v>170000</v>
      </c>
      <c r="G14" s="86">
        <v>220</v>
      </c>
      <c r="H14" s="86">
        <v>130000</v>
      </c>
      <c r="I14" s="86"/>
      <c r="J14" s="86">
        <v>2474</v>
      </c>
      <c r="K14" s="86">
        <v>24694</v>
      </c>
      <c r="L14" s="86">
        <v>15522</v>
      </c>
      <c r="N14" s="91" t="s">
        <v>106</v>
      </c>
    </row>
    <row r="15" spans="2:15" ht="29.25" customHeight="1" thickTop="1" x14ac:dyDescent="0.25">
      <c r="B15" s="89" t="s">
        <v>83</v>
      </c>
      <c r="C15" s="86">
        <v>1500</v>
      </c>
      <c r="D15" s="86">
        <v>39000</v>
      </c>
      <c r="E15" s="86">
        <v>690</v>
      </c>
      <c r="F15" s="86">
        <v>110000</v>
      </c>
      <c r="G15" s="86">
        <v>4500</v>
      </c>
      <c r="H15" s="86">
        <v>130000</v>
      </c>
      <c r="I15" s="86"/>
      <c r="J15" s="86">
        <v>5306</v>
      </c>
      <c r="K15" s="86">
        <v>53286</v>
      </c>
      <c r="L15" s="86">
        <v>35206</v>
      </c>
    </row>
    <row r="16" spans="2:15" ht="29.25" customHeight="1" x14ac:dyDescent="0.25">
      <c r="B16" s="89" t="s">
        <v>104</v>
      </c>
      <c r="C16" s="86">
        <v>2000</v>
      </c>
      <c r="D16" s="86">
        <v>15000</v>
      </c>
      <c r="E16" s="86">
        <v>7900</v>
      </c>
      <c r="F16" s="86">
        <v>170000</v>
      </c>
      <c r="G16" s="86">
        <v>7800</v>
      </c>
      <c r="H16" s="86">
        <v>1300000</v>
      </c>
      <c r="I16" s="86"/>
      <c r="J16" s="86">
        <v>5108</v>
      </c>
      <c r="K16" s="86">
        <v>92175</v>
      </c>
      <c r="L16" s="86">
        <v>57479</v>
      </c>
    </row>
    <row r="17" spans="2:14" ht="29.25" customHeight="1" x14ac:dyDescent="0.25">
      <c r="B17" s="90" t="s">
        <v>105</v>
      </c>
      <c r="C17" s="141">
        <v>2550</v>
      </c>
      <c r="D17" s="141">
        <v>20500</v>
      </c>
      <c r="E17" s="141">
        <v>2300</v>
      </c>
      <c r="F17" s="141">
        <v>240000</v>
      </c>
      <c r="G17" s="141">
        <v>2300</v>
      </c>
      <c r="H17" s="141">
        <v>240000</v>
      </c>
      <c r="I17" s="141">
        <v>1</v>
      </c>
      <c r="J17" s="141">
        <v>11565</v>
      </c>
      <c r="K17" s="141">
        <v>40298</v>
      </c>
      <c r="L17" s="141">
        <v>37975</v>
      </c>
    </row>
    <row r="18" spans="2:14" ht="29.25" customHeight="1" thickBot="1" x14ac:dyDescent="0.3">
      <c r="B18" s="91" t="s">
        <v>106</v>
      </c>
      <c r="C18" s="87">
        <v>2500</v>
      </c>
      <c r="D18" s="87">
        <v>25000</v>
      </c>
      <c r="E18" s="87">
        <v>2300</v>
      </c>
      <c r="F18" s="87">
        <v>170000</v>
      </c>
      <c r="G18" s="87">
        <v>2250</v>
      </c>
      <c r="H18" s="87">
        <v>94000</v>
      </c>
      <c r="I18" s="87"/>
      <c r="J18" s="87">
        <v>12211</v>
      </c>
      <c r="K18" s="87">
        <v>48006</v>
      </c>
      <c r="L18" s="87">
        <v>36327</v>
      </c>
    </row>
    <row r="19" spans="2:14" ht="10.5" customHeight="1" thickTop="1" x14ac:dyDescent="0.25">
      <c r="B19" s="34"/>
      <c r="C19" s="34"/>
      <c r="D19" s="34"/>
      <c r="E19" s="34"/>
      <c r="F19" s="34"/>
      <c r="G19" s="34"/>
      <c r="H19" s="34"/>
      <c r="I19" s="34"/>
    </row>
    <row r="20" spans="2:14" ht="26.25" customHeight="1" x14ac:dyDescent="0.25">
      <c r="B20" s="866" t="s">
        <v>227</v>
      </c>
      <c r="C20" s="866"/>
      <c r="D20" s="866"/>
      <c r="E20" s="866"/>
      <c r="F20" s="866"/>
      <c r="G20" s="866"/>
      <c r="H20" s="866"/>
      <c r="I20" s="614"/>
    </row>
    <row r="21" spans="2:14" ht="14.25" customHeight="1" x14ac:dyDescent="0.25"/>
    <row r="22" spans="2:14" ht="23.25" customHeight="1" x14ac:dyDescent="0.25">
      <c r="B22" s="610" t="s">
        <v>228</v>
      </c>
      <c r="C22" s="610"/>
      <c r="D22" s="43"/>
      <c r="E22" s="610"/>
      <c r="F22" s="317"/>
      <c r="G22" s="317"/>
      <c r="H22" s="317"/>
      <c r="I22" s="317"/>
      <c r="J22" s="317"/>
      <c r="K22" s="317"/>
      <c r="L22" s="611">
        <v>39</v>
      </c>
      <c r="M22" s="14"/>
      <c r="N22" s="14"/>
    </row>
  </sheetData>
  <mergeCells count="14">
    <mergeCell ref="B20:H20"/>
    <mergeCell ref="J5:J6"/>
    <mergeCell ref="K5:K6"/>
    <mergeCell ref="B1:L1"/>
    <mergeCell ref="J3:L3"/>
    <mergeCell ref="C3:H3"/>
    <mergeCell ref="L5:L6"/>
    <mergeCell ref="B3:B6"/>
    <mergeCell ref="C4:D4"/>
    <mergeCell ref="E4:F4"/>
    <mergeCell ref="G4:H4"/>
    <mergeCell ref="C5:D5"/>
    <mergeCell ref="E5:F5"/>
    <mergeCell ref="G5:H5"/>
  </mergeCells>
  <printOptions horizontalCentered="1"/>
  <pageMargins left="0.7" right="0.7" top="0.5" bottom="0.5" header="0.3" footer="0.3"/>
  <pageSetup paperSize="9"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63"/>
  <sheetViews>
    <sheetView rightToLeft="1" view="pageBreakPreview" zoomScaleSheetLayoutView="100" workbookViewId="0">
      <selection activeCell="B1" sqref="B1:K1"/>
    </sheetView>
  </sheetViews>
  <sheetFormatPr defaultRowHeight="15" x14ac:dyDescent="0.25"/>
  <cols>
    <col min="1" max="1" width="1.140625" customWidth="1"/>
    <col min="2" max="2" width="14.7109375" customWidth="1"/>
    <col min="3" max="3" width="23.28515625" customWidth="1"/>
    <col min="4" max="4" width="11.7109375" customWidth="1"/>
    <col min="5" max="6" width="11.7109375" style="14" customWidth="1"/>
    <col min="7" max="7" width="11.7109375" style="42" customWidth="1"/>
    <col min="8" max="8" width="0.85546875" style="14" customWidth="1"/>
    <col min="9" max="11" width="11.7109375" customWidth="1"/>
  </cols>
  <sheetData>
    <row r="1" spans="2:11" ht="30" customHeight="1" x14ac:dyDescent="0.25">
      <c r="B1" s="878" t="s">
        <v>458</v>
      </c>
      <c r="C1" s="878"/>
      <c r="D1" s="878"/>
      <c r="E1" s="878"/>
      <c r="F1" s="878"/>
      <c r="G1" s="878"/>
      <c r="H1" s="878"/>
      <c r="I1" s="878"/>
      <c r="J1" s="878"/>
      <c r="K1" s="878"/>
    </row>
    <row r="2" spans="2:11" s="154" customFormat="1" ht="19.5" customHeight="1" thickBot="1" x14ac:dyDescent="0.3">
      <c r="B2" s="879" t="s">
        <v>487</v>
      </c>
      <c r="C2" s="879"/>
      <c r="D2" s="879"/>
      <c r="E2" s="879"/>
      <c r="F2" s="879"/>
      <c r="G2" s="879"/>
      <c r="H2" s="879"/>
      <c r="I2" s="879"/>
      <c r="J2" s="879"/>
      <c r="K2" s="879"/>
    </row>
    <row r="3" spans="2:11" ht="27" customHeight="1" thickTop="1" x14ac:dyDescent="0.25">
      <c r="B3" s="792" t="s">
        <v>110</v>
      </c>
      <c r="C3" s="792"/>
      <c r="D3" s="761" t="s">
        <v>111</v>
      </c>
      <c r="E3" s="796" t="s">
        <v>112</v>
      </c>
      <c r="F3" s="796"/>
      <c r="G3" s="796"/>
      <c r="H3" s="612"/>
      <c r="I3" s="796" t="s">
        <v>113</v>
      </c>
      <c r="J3" s="796"/>
      <c r="K3" s="796"/>
    </row>
    <row r="4" spans="2:11" ht="27" customHeight="1" x14ac:dyDescent="0.25">
      <c r="B4" s="806"/>
      <c r="C4" s="806"/>
      <c r="D4" s="762"/>
      <c r="E4" s="181" t="s">
        <v>97</v>
      </c>
      <c r="F4" s="181" t="s">
        <v>98</v>
      </c>
      <c r="G4" s="181" t="s">
        <v>114</v>
      </c>
      <c r="H4" s="175"/>
      <c r="I4" s="181" t="s">
        <v>97</v>
      </c>
      <c r="J4" s="181" t="s">
        <v>98</v>
      </c>
      <c r="K4" s="181" t="s">
        <v>114</v>
      </c>
    </row>
    <row r="5" spans="2:11" ht="21" customHeight="1" x14ac:dyDescent="0.25">
      <c r="B5" s="92" t="s">
        <v>115</v>
      </c>
      <c r="C5" s="122" t="s">
        <v>116</v>
      </c>
      <c r="D5" s="180"/>
      <c r="E5" s="146" t="s">
        <v>345</v>
      </c>
      <c r="F5" s="146" t="s">
        <v>345</v>
      </c>
      <c r="G5" s="146" t="s">
        <v>345</v>
      </c>
      <c r="H5" s="146"/>
      <c r="I5" s="146" t="s">
        <v>345</v>
      </c>
      <c r="J5" s="146" t="s">
        <v>345</v>
      </c>
      <c r="K5" s="146" t="s">
        <v>345</v>
      </c>
    </row>
    <row r="6" spans="2:11" ht="21" customHeight="1" x14ac:dyDescent="0.25">
      <c r="B6" s="93" t="s">
        <v>117</v>
      </c>
      <c r="C6" s="123" t="s">
        <v>118</v>
      </c>
      <c r="D6" s="124" t="s">
        <v>119</v>
      </c>
      <c r="E6" s="147">
        <v>8</v>
      </c>
      <c r="F6" s="147">
        <v>41</v>
      </c>
      <c r="G6" s="147">
        <v>23</v>
      </c>
      <c r="H6" s="147"/>
      <c r="I6" s="147">
        <v>8</v>
      </c>
      <c r="J6" s="147">
        <v>42</v>
      </c>
      <c r="K6" s="147">
        <v>23</v>
      </c>
    </row>
    <row r="7" spans="2:11" ht="21" customHeight="1" x14ac:dyDescent="0.25">
      <c r="B7" s="93" t="s">
        <v>120</v>
      </c>
      <c r="C7" s="123" t="s">
        <v>208</v>
      </c>
      <c r="D7" s="124" t="s">
        <v>209</v>
      </c>
      <c r="E7" s="147">
        <v>6</v>
      </c>
      <c r="F7" s="147">
        <v>650</v>
      </c>
      <c r="G7" s="147">
        <v>41</v>
      </c>
      <c r="H7" s="147"/>
      <c r="I7" s="160">
        <v>0.2</v>
      </c>
      <c r="J7" s="159">
        <v>14</v>
      </c>
      <c r="K7" s="159">
        <v>2</v>
      </c>
    </row>
    <row r="8" spans="2:11" ht="21" customHeight="1" x14ac:dyDescent="0.25">
      <c r="B8" s="93" t="s">
        <v>224</v>
      </c>
      <c r="C8" s="123" t="s">
        <v>122</v>
      </c>
      <c r="D8" s="179"/>
      <c r="E8" s="160">
        <v>7.29</v>
      </c>
      <c r="F8" s="160">
        <v>8.5</v>
      </c>
      <c r="G8" s="160">
        <v>7.98</v>
      </c>
      <c r="H8" s="160"/>
      <c r="I8" s="160">
        <v>7</v>
      </c>
      <c r="J8" s="160">
        <v>8.11</v>
      </c>
      <c r="K8" s="160">
        <v>7.57</v>
      </c>
    </row>
    <row r="9" spans="2:11" ht="21" customHeight="1" x14ac:dyDescent="0.25">
      <c r="B9" s="93" t="s">
        <v>123</v>
      </c>
      <c r="C9" s="123" t="s">
        <v>203</v>
      </c>
      <c r="D9" s="124" t="s">
        <v>121</v>
      </c>
      <c r="E9" s="147">
        <v>96</v>
      </c>
      <c r="F9" s="147">
        <v>250</v>
      </c>
      <c r="G9" s="147">
        <v>155</v>
      </c>
      <c r="H9" s="147"/>
      <c r="I9" s="147">
        <v>83</v>
      </c>
      <c r="J9" s="147">
        <v>237</v>
      </c>
      <c r="K9" s="147">
        <v>146</v>
      </c>
    </row>
    <row r="10" spans="2:11" ht="21" customHeight="1" x14ac:dyDescent="0.25">
      <c r="B10" s="93" t="s">
        <v>124</v>
      </c>
      <c r="C10" s="123" t="s">
        <v>512</v>
      </c>
      <c r="D10" s="124" t="s">
        <v>121</v>
      </c>
      <c r="E10" s="147">
        <v>200</v>
      </c>
      <c r="F10" s="147">
        <v>488</v>
      </c>
      <c r="G10" s="147">
        <v>329</v>
      </c>
      <c r="H10" s="147"/>
      <c r="I10" s="147">
        <v>204</v>
      </c>
      <c r="J10" s="147">
        <v>481</v>
      </c>
      <c r="K10" s="147">
        <v>330</v>
      </c>
    </row>
    <row r="11" spans="2:11" ht="21" customHeight="1" x14ac:dyDescent="0.25">
      <c r="B11" s="93" t="s">
        <v>125</v>
      </c>
      <c r="C11" s="123" t="s">
        <v>126</v>
      </c>
      <c r="D11" s="124" t="s">
        <v>121</v>
      </c>
      <c r="E11" s="147">
        <v>48</v>
      </c>
      <c r="F11" s="147">
        <v>123</v>
      </c>
      <c r="G11" s="147">
        <v>83</v>
      </c>
      <c r="H11" s="147"/>
      <c r="I11" s="147">
        <v>50</v>
      </c>
      <c r="J11" s="147">
        <v>123</v>
      </c>
      <c r="K11" s="147">
        <v>83</v>
      </c>
    </row>
    <row r="12" spans="2:11" ht="21" customHeight="1" x14ac:dyDescent="0.25">
      <c r="B12" s="93" t="s">
        <v>127</v>
      </c>
      <c r="C12" s="123" t="s">
        <v>128</v>
      </c>
      <c r="D12" s="124" t="s">
        <v>121</v>
      </c>
      <c r="E12" s="147">
        <v>10</v>
      </c>
      <c r="F12" s="147">
        <v>50</v>
      </c>
      <c r="G12" s="147">
        <v>30</v>
      </c>
      <c r="H12" s="147"/>
      <c r="I12" s="147">
        <v>10</v>
      </c>
      <c r="J12" s="147">
        <v>51</v>
      </c>
      <c r="K12" s="147">
        <v>30</v>
      </c>
    </row>
    <row r="13" spans="2:11" ht="21" customHeight="1" x14ac:dyDescent="0.25">
      <c r="B13" s="93" t="s">
        <v>129</v>
      </c>
      <c r="C13" s="123" t="s">
        <v>130</v>
      </c>
      <c r="D13" s="124" t="s">
        <v>131</v>
      </c>
      <c r="E13" s="147">
        <v>21</v>
      </c>
      <c r="F13" s="147">
        <v>116</v>
      </c>
      <c r="G13" s="147">
        <v>66</v>
      </c>
      <c r="H13" s="147"/>
      <c r="I13" s="147">
        <v>22</v>
      </c>
      <c r="J13" s="147">
        <v>120</v>
      </c>
      <c r="K13" s="147">
        <v>67</v>
      </c>
    </row>
    <row r="14" spans="2:11" ht="21" customHeight="1" x14ac:dyDescent="0.25">
      <c r="B14" s="93" t="s">
        <v>132</v>
      </c>
      <c r="C14" s="123" t="s">
        <v>133</v>
      </c>
      <c r="D14" s="124" t="s">
        <v>134</v>
      </c>
      <c r="E14" s="147">
        <v>550</v>
      </c>
      <c r="F14" s="147">
        <v>1411</v>
      </c>
      <c r="G14" s="147">
        <v>882</v>
      </c>
      <c r="H14" s="147"/>
      <c r="I14" s="147">
        <v>560</v>
      </c>
      <c r="J14" s="147">
        <v>1472</v>
      </c>
      <c r="K14" s="147">
        <v>889</v>
      </c>
    </row>
    <row r="15" spans="2:11" ht="21" customHeight="1" x14ac:dyDescent="0.25">
      <c r="B15" s="93" t="s">
        <v>135</v>
      </c>
      <c r="C15" s="123" t="s">
        <v>136</v>
      </c>
      <c r="D15" s="124" t="s">
        <v>137</v>
      </c>
      <c r="E15" s="498" t="s">
        <v>495</v>
      </c>
      <c r="F15" s="160">
        <v>0.05</v>
      </c>
      <c r="G15" s="160">
        <v>0.01</v>
      </c>
      <c r="H15" s="147"/>
      <c r="I15" s="498" t="s">
        <v>495</v>
      </c>
      <c r="J15" s="160">
        <v>0.2</v>
      </c>
      <c r="K15" s="160">
        <v>0.08</v>
      </c>
    </row>
    <row r="16" spans="2:11" ht="21" customHeight="1" x14ac:dyDescent="0.25">
      <c r="B16" s="89" t="s">
        <v>138</v>
      </c>
      <c r="C16" s="125" t="s">
        <v>139</v>
      </c>
      <c r="D16" s="124" t="s">
        <v>137</v>
      </c>
      <c r="E16" s="147">
        <v>340</v>
      </c>
      <c r="F16" s="147">
        <v>936</v>
      </c>
      <c r="G16" s="147">
        <v>582</v>
      </c>
      <c r="H16" s="147"/>
      <c r="I16" s="147">
        <v>350</v>
      </c>
      <c r="J16" s="147">
        <v>986</v>
      </c>
      <c r="K16" s="147">
        <v>587</v>
      </c>
    </row>
    <row r="17" spans="2:19" ht="21" customHeight="1" x14ac:dyDescent="0.25">
      <c r="B17" s="93" t="s">
        <v>392</v>
      </c>
      <c r="C17" s="123" t="s">
        <v>140</v>
      </c>
      <c r="D17" s="124" t="s">
        <v>137</v>
      </c>
      <c r="E17" s="147">
        <v>8</v>
      </c>
      <c r="F17" s="147">
        <v>734</v>
      </c>
      <c r="G17" s="147">
        <v>58</v>
      </c>
      <c r="H17" s="148"/>
      <c r="I17" s="178"/>
      <c r="J17" s="178"/>
      <c r="K17" s="178"/>
    </row>
    <row r="18" spans="2:19" ht="21" customHeight="1" x14ac:dyDescent="0.25">
      <c r="B18" s="93" t="s">
        <v>200</v>
      </c>
      <c r="C18" s="123" t="s">
        <v>141</v>
      </c>
      <c r="D18" s="124" t="s">
        <v>137</v>
      </c>
      <c r="E18" s="160">
        <v>0.02</v>
      </c>
      <c r="F18" s="160">
        <v>6.03</v>
      </c>
      <c r="G18" s="160">
        <v>1.35</v>
      </c>
      <c r="H18" s="147"/>
      <c r="I18" s="498" t="s">
        <v>496</v>
      </c>
      <c r="J18" s="160">
        <v>0.42</v>
      </c>
      <c r="K18" s="160">
        <v>7.0000000000000007E-2</v>
      </c>
    </row>
    <row r="19" spans="2:19" ht="21" customHeight="1" x14ac:dyDescent="0.25">
      <c r="B19" s="93" t="s">
        <v>142</v>
      </c>
      <c r="C19" s="123" t="s">
        <v>204</v>
      </c>
      <c r="D19" s="124" t="s">
        <v>137</v>
      </c>
      <c r="E19" s="147">
        <v>80</v>
      </c>
      <c r="F19" s="147">
        <v>388</v>
      </c>
      <c r="G19" s="147">
        <v>214</v>
      </c>
      <c r="H19" s="147"/>
      <c r="I19" s="147">
        <v>80</v>
      </c>
      <c r="J19" s="147">
        <v>397</v>
      </c>
      <c r="K19" s="147">
        <v>217</v>
      </c>
    </row>
    <row r="20" spans="2:19" ht="21" customHeight="1" x14ac:dyDescent="0.25">
      <c r="B20" s="93" t="s">
        <v>143</v>
      </c>
      <c r="C20" s="123" t="s">
        <v>144</v>
      </c>
      <c r="D20" s="124" t="s">
        <v>137</v>
      </c>
      <c r="E20" s="160">
        <v>0.02</v>
      </c>
      <c r="F20" s="160">
        <v>0.3</v>
      </c>
      <c r="G20" s="160">
        <v>0.13</v>
      </c>
      <c r="H20" s="160"/>
      <c r="I20" s="160">
        <v>0.01</v>
      </c>
      <c r="J20" s="160">
        <v>0.24</v>
      </c>
      <c r="K20" s="160">
        <v>0.09</v>
      </c>
    </row>
    <row r="21" spans="2:19" ht="21" customHeight="1" thickBot="1" x14ac:dyDescent="0.3">
      <c r="B21" s="94" t="s">
        <v>145</v>
      </c>
      <c r="C21" s="126" t="s">
        <v>210</v>
      </c>
      <c r="D21" s="127" t="s">
        <v>137</v>
      </c>
      <c r="E21" s="484" t="s">
        <v>495</v>
      </c>
      <c r="F21" s="161">
        <v>1.1499999999999999</v>
      </c>
      <c r="G21" s="161">
        <v>0.18</v>
      </c>
      <c r="H21" s="149"/>
      <c r="I21" s="484" t="s">
        <v>495</v>
      </c>
      <c r="J21" s="161">
        <v>0.08</v>
      </c>
      <c r="K21" s="161">
        <v>0.02</v>
      </c>
    </row>
    <row r="22" spans="2:19" ht="18" customHeight="1" thickTop="1" x14ac:dyDescent="0.25">
      <c r="B22" s="877" t="s">
        <v>225</v>
      </c>
      <c r="C22" s="877"/>
      <c r="D22" s="877"/>
      <c r="E22" s="877"/>
      <c r="F22" s="877"/>
      <c r="G22" s="877"/>
      <c r="H22" s="877"/>
      <c r="I22" s="877"/>
      <c r="K22" s="31" t="s">
        <v>91</v>
      </c>
    </row>
    <row r="23" spans="2:19" ht="15" customHeight="1" x14ac:dyDescent="0.25">
      <c r="B23" s="877" t="s">
        <v>226</v>
      </c>
      <c r="C23" s="877"/>
      <c r="D23" s="877"/>
      <c r="E23" s="877"/>
      <c r="F23" s="877"/>
      <c r="G23" s="877"/>
      <c r="H23" s="877"/>
      <c r="I23" s="877"/>
      <c r="J23" s="38"/>
      <c r="K23" s="39"/>
    </row>
    <row r="24" spans="2:19" ht="14.25" customHeight="1" x14ac:dyDescent="0.25">
      <c r="B24" s="880"/>
      <c r="C24" s="880"/>
      <c r="D24" s="880"/>
      <c r="E24" s="880"/>
      <c r="F24" s="880"/>
      <c r="G24" s="880"/>
      <c r="H24" s="880"/>
      <c r="I24" s="880"/>
      <c r="J24" s="880"/>
      <c r="K24" s="880"/>
    </row>
    <row r="25" spans="2:19" ht="3.75" hidden="1" customHeight="1" x14ac:dyDescent="0.25">
      <c r="B25" s="616"/>
      <c r="C25" s="616"/>
      <c r="D25" s="616"/>
      <c r="E25" s="616"/>
      <c r="F25" s="616"/>
      <c r="G25" s="616"/>
      <c r="H25" s="616"/>
      <c r="I25" s="616"/>
      <c r="J25" s="616"/>
      <c r="K25" s="616"/>
    </row>
    <row r="26" spans="2:19" ht="5.25" hidden="1" customHeight="1" x14ac:dyDescent="0.25">
      <c r="B26" s="616"/>
      <c r="C26" s="616"/>
      <c r="D26" s="616"/>
      <c r="E26" s="616"/>
      <c r="F26" s="616"/>
      <c r="G26" s="616"/>
      <c r="H26" s="616"/>
      <c r="I26" s="616"/>
      <c r="J26" s="616"/>
      <c r="K26" s="616"/>
    </row>
    <row r="27" spans="2:19" ht="9.75" customHeight="1" x14ac:dyDescent="0.25">
      <c r="B27" s="40"/>
      <c r="C27" s="41"/>
      <c r="D27" s="41"/>
      <c r="E27" s="41"/>
      <c r="F27" s="41"/>
      <c r="G27" s="41"/>
      <c r="H27" s="41"/>
      <c r="I27" s="41"/>
      <c r="J27" s="37"/>
      <c r="K27" s="37"/>
    </row>
    <row r="28" spans="2:19" ht="24" customHeight="1" x14ac:dyDescent="0.25">
      <c r="B28" s="610" t="s">
        <v>228</v>
      </c>
      <c r="C28" s="610"/>
      <c r="D28" s="798"/>
      <c r="E28" s="798"/>
      <c r="F28" s="798"/>
      <c r="G28" s="798"/>
      <c r="H28" s="153"/>
      <c r="I28" s="153"/>
      <c r="J28" s="153"/>
      <c r="K28" s="611">
        <v>40</v>
      </c>
      <c r="L28" s="7"/>
      <c r="M28" s="7"/>
      <c r="N28" s="7"/>
      <c r="O28" s="7"/>
      <c r="P28" s="7"/>
      <c r="Q28" s="7"/>
      <c r="S28" s="9"/>
    </row>
    <row r="29" spans="2:19" ht="30" customHeight="1" x14ac:dyDescent="0.25">
      <c r="B29" s="878" t="s">
        <v>458</v>
      </c>
      <c r="C29" s="878"/>
      <c r="D29" s="878"/>
      <c r="E29" s="878"/>
      <c r="F29" s="878"/>
      <c r="G29" s="878"/>
      <c r="H29" s="878"/>
      <c r="I29" s="878"/>
      <c r="J29" s="878"/>
      <c r="K29" s="878"/>
    </row>
    <row r="30" spans="2:19" s="154" customFormat="1" ht="27" customHeight="1" thickBot="1" x14ac:dyDescent="0.3">
      <c r="B30" s="879" t="s">
        <v>488</v>
      </c>
      <c r="C30" s="879"/>
      <c r="D30" s="879"/>
      <c r="E30" s="879"/>
      <c r="F30" s="879"/>
      <c r="G30" s="879"/>
      <c r="H30" s="879"/>
      <c r="I30" s="879"/>
      <c r="J30" s="879"/>
      <c r="K30" s="879"/>
    </row>
    <row r="31" spans="2:19" ht="27.75" customHeight="1" thickTop="1" x14ac:dyDescent="0.25">
      <c r="B31" s="792" t="s">
        <v>110</v>
      </c>
      <c r="C31" s="792"/>
      <c r="D31" s="761" t="s">
        <v>111</v>
      </c>
      <c r="E31" s="796" t="s">
        <v>112</v>
      </c>
      <c r="F31" s="796"/>
      <c r="G31" s="796"/>
      <c r="H31" s="613"/>
      <c r="I31" s="796" t="s">
        <v>113</v>
      </c>
      <c r="J31" s="796"/>
      <c r="K31" s="796"/>
    </row>
    <row r="32" spans="2:19" ht="27" customHeight="1" x14ac:dyDescent="0.25">
      <c r="B32" s="806"/>
      <c r="C32" s="806"/>
      <c r="D32" s="762"/>
      <c r="E32" s="177" t="s">
        <v>97</v>
      </c>
      <c r="F32" s="177" t="s">
        <v>98</v>
      </c>
      <c r="G32" s="177" t="s">
        <v>114</v>
      </c>
      <c r="H32" s="176"/>
      <c r="I32" s="177" t="s">
        <v>97</v>
      </c>
      <c r="J32" s="177" t="s">
        <v>98</v>
      </c>
      <c r="K32" s="177" t="s">
        <v>114</v>
      </c>
    </row>
    <row r="33" spans="2:11" ht="21" customHeight="1" x14ac:dyDescent="0.25">
      <c r="B33" s="93" t="s">
        <v>146</v>
      </c>
      <c r="C33" s="123" t="s">
        <v>211</v>
      </c>
      <c r="D33" s="124" t="s">
        <v>137</v>
      </c>
      <c r="E33" s="160" t="s">
        <v>245</v>
      </c>
      <c r="F33" s="712">
        <v>6.6000000000000003E-2</v>
      </c>
      <c r="G33" s="712">
        <v>0.01</v>
      </c>
      <c r="H33" s="160"/>
      <c r="I33" s="160" t="s">
        <v>245</v>
      </c>
      <c r="J33" s="712">
        <v>0.02</v>
      </c>
      <c r="K33" s="712">
        <v>2E-3</v>
      </c>
    </row>
    <row r="34" spans="2:11" ht="21" customHeight="1" x14ac:dyDescent="0.25">
      <c r="B34" s="93" t="s">
        <v>147</v>
      </c>
      <c r="C34" s="123" t="s">
        <v>212</v>
      </c>
      <c r="D34" s="124" t="s">
        <v>137</v>
      </c>
      <c r="E34" s="160">
        <v>0.25</v>
      </c>
      <c r="F34" s="160">
        <v>9.6</v>
      </c>
      <c r="G34" s="160">
        <v>1.1499999999999999</v>
      </c>
      <c r="H34" s="160"/>
      <c r="I34" s="160">
        <v>0.27</v>
      </c>
      <c r="J34" s="160">
        <v>9.8000000000000007</v>
      </c>
      <c r="K34" s="160">
        <v>1.1599999999999999</v>
      </c>
    </row>
    <row r="35" spans="2:11" ht="21" customHeight="1" x14ac:dyDescent="0.25">
      <c r="B35" s="93" t="s">
        <v>148</v>
      </c>
      <c r="C35" s="123" t="s">
        <v>213</v>
      </c>
      <c r="D35" s="124" t="s">
        <v>137</v>
      </c>
      <c r="E35" s="159">
        <v>1</v>
      </c>
      <c r="F35" s="159">
        <v>10.1</v>
      </c>
      <c r="G35" s="159">
        <v>4.4000000000000004</v>
      </c>
      <c r="H35" s="159"/>
      <c r="I35" s="159">
        <v>0.8</v>
      </c>
      <c r="J35" s="159">
        <v>10.1</v>
      </c>
      <c r="K35" s="159">
        <v>4.0999999999999996</v>
      </c>
    </row>
    <row r="36" spans="2:11" ht="21" customHeight="1" x14ac:dyDescent="0.25">
      <c r="B36" s="89" t="s">
        <v>149</v>
      </c>
      <c r="C36" s="123" t="s">
        <v>214</v>
      </c>
      <c r="D36" s="124" t="s">
        <v>137</v>
      </c>
      <c r="E36" s="160" t="s">
        <v>244</v>
      </c>
      <c r="F36" s="160">
        <v>0.19</v>
      </c>
      <c r="G36" s="160">
        <v>0.04</v>
      </c>
      <c r="H36" s="160"/>
      <c r="I36" s="160" t="s">
        <v>244</v>
      </c>
      <c r="J36" s="160">
        <v>0.11</v>
      </c>
      <c r="K36" s="160">
        <v>0.03</v>
      </c>
    </row>
    <row r="37" spans="2:11" ht="21" customHeight="1" x14ac:dyDescent="0.25">
      <c r="B37" s="95" t="s">
        <v>150</v>
      </c>
      <c r="C37" s="123" t="s">
        <v>151</v>
      </c>
      <c r="D37" s="124" t="s">
        <v>137</v>
      </c>
      <c r="E37" s="160" t="s">
        <v>246</v>
      </c>
      <c r="F37" s="160" t="s">
        <v>246</v>
      </c>
      <c r="G37" s="160" t="s">
        <v>246</v>
      </c>
      <c r="H37" s="160"/>
      <c r="I37" s="160" t="s">
        <v>246</v>
      </c>
      <c r="J37" s="160" t="s">
        <v>246</v>
      </c>
      <c r="K37" s="160" t="s">
        <v>246</v>
      </c>
    </row>
    <row r="38" spans="2:11" ht="21" customHeight="1" x14ac:dyDescent="0.25">
      <c r="B38" s="89" t="s">
        <v>152</v>
      </c>
      <c r="C38" s="123" t="s">
        <v>153</v>
      </c>
      <c r="D38" s="124" t="s">
        <v>137</v>
      </c>
      <c r="E38" s="160" t="s">
        <v>244</v>
      </c>
      <c r="F38" s="160" t="s">
        <v>244</v>
      </c>
      <c r="G38" s="160" t="s">
        <v>244</v>
      </c>
      <c r="H38" s="160"/>
      <c r="I38" s="160" t="s">
        <v>244</v>
      </c>
      <c r="J38" s="160" t="s">
        <v>244</v>
      </c>
      <c r="K38" s="160" t="s">
        <v>244</v>
      </c>
    </row>
    <row r="39" spans="2:11" ht="21" customHeight="1" x14ac:dyDescent="0.25">
      <c r="B39" s="89" t="s">
        <v>154</v>
      </c>
      <c r="C39" s="123" t="s">
        <v>155</v>
      </c>
      <c r="D39" s="124" t="s">
        <v>137</v>
      </c>
      <c r="E39" s="160" t="s">
        <v>247</v>
      </c>
      <c r="F39" s="712">
        <v>2.1999999999999999E-2</v>
      </c>
      <c r="G39" s="160">
        <v>0.02</v>
      </c>
      <c r="H39" s="713"/>
      <c r="I39" s="160" t="s">
        <v>247</v>
      </c>
      <c r="J39" s="712">
        <v>2.3E-2</v>
      </c>
      <c r="K39" s="160">
        <v>0.03</v>
      </c>
    </row>
    <row r="40" spans="2:11" ht="21" customHeight="1" x14ac:dyDescent="0.25">
      <c r="B40" s="96" t="s">
        <v>156</v>
      </c>
      <c r="C40" s="123" t="s">
        <v>157</v>
      </c>
      <c r="D40" s="124" t="s">
        <v>137</v>
      </c>
      <c r="E40" s="160" t="s">
        <v>247</v>
      </c>
      <c r="F40" s="712">
        <v>2.3E-2</v>
      </c>
      <c r="G40" s="160">
        <v>0.02</v>
      </c>
      <c r="H40" s="160"/>
      <c r="I40" s="160" t="s">
        <v>247</v>
      </c>
      <c r="J40" s="160" t="s">
        <v>247</v>
      </c>
      <c r="K40" s="160" t="s">
        <v>247</v>
      </c>
    </row>
    <row r="41" spans="2:11" ht="21" customHeight="1" x14ac:dyDescent="0.25">
      <c r="B41" s="97" t="s">
        <v>158</v>
      </c>
      <c r="C41" s="123" t="s">
        <v>159</v>
      </c>
      <c r="D41" s="124" t="s">
        <v>137</v>
      </c>
      <c r="E41" s="714" t="s">
        <v>497</v>
      </c>
      <c r="F41" s="714" t="s">
        <v>497</v>
      </c>
      <c r="G41" s="160">
        <v>0.05</v>
      </c>
      <c r="H41" s="714"/>
      <c r="I41" s="714" t="s">
        <v>497</v>
      </c>
      <c r="J41" s="714" t="s">
        <v>497</v>
      </c>
      <c r="K41" s="160">
        <v>0.05</v>
      </c>
    </row>
    <row r="42" spans="2:11" ht="21" customHeight="1" x14ac:dyDescent="0.25">
      <c r="B42" s="97" t="s">
        <v>160</v>
      </c>
      <c r="C42" s="123" t="s">
        <v>161</v>
      </c>
      <c r="D42" s="124" t="s">
        <v>137</v>
      </c>
      <c r="E42" s="714" t="s">
        <v>497</v>
      </c>
      <c r="F42" s="714" t="s">
        <v>497</v>
      </c>
      <c r="G42" s="714" t="s">
        <v>497</v>
      </c>
      <c r="H42" s="714"/>
      <c r="I42" s="714" t="s">
        <v>497</v>
      </c>
      <c r="J42" s="714" t="s">
        <v>497</v>
      </c>
      <c r="K42" s="714" t="s">
        <v>497</v>
      </c>
    </row>
    <row r="43" spans="2:11" ht="21" customHeight="1" x14ac:dyDescent="0.25">
      <c r="B43" s="97" t="s">
        <v>162</v>
      </c>
      <c r="C43" s="123" t="s">
        <v>163</v>
      </c>
      <c r="D43" s="124" t="s">
        <v>137</v>
      </c>
      <c r="E43" s="147">
        <v>36</v>
      </c>
      <c r="F43" s="147">
        <v>65</v>
      </c>
      <c r="G43" s="147">
        <v>50</v>
      </c>
      <c r="H43" s="147"/>
      <c r="I43" s="147">
        <v>34</v>
      </c>
      <c r="J43" s="147">
        <v>66</v>
      </c>
      <c r="K43" s="147">
        <v>49</v>
      </c>
    </row>
    <row r="44" spans="2:11" ht="21" customHeight="1" x14ac:dyDescent="0.25">
      <c r="B44" s="97" t="s">
        <v>164</v>
      </c>
      <c r="C44" s="123" t="s">
        <v>165</v>
      </c>
      <c r="D44" s="124" t="s">
        <v>137</v>
      </c>
      <c r="E44" s="160">
        <v>1.67</v>
      </c>
      <c r="F44" s="160">
        <v>2.84</v>
      </c>
      <c r="G44" s="160">
        <v>2.0299999999999998</v>
      </c>
      <c r="H44" s="160"/>
      <c r="I44" s="160">
        <v>1.86</v>
      </c>
      <c r="J44" s="160">
        <v>2.99</v>
      </c>
      <c r="K44" s="160">
        <v>2.0699999999999998</v>
      </c>
    </row>
    <row r="45" spans="2:11" ht="21" customHeight="1" x14ac:dyDescent="0.25">
      <c r="B45" s="97" t="s">
        <v>166</v>
      </c>
      <c r="C45" s="123" t="s">
        <v>167</v>
      </c>
      <c r="D45" s="124" t="s">
        <v>137</v>
      </c>
      <c r="E45" s="160" t="s">
        <v>316</v>
      </c>
      <c r="F45" s="160" t="s">
        <v>316</v>
      </c>
      <c r="G45" s="160" t="s">
        <v>316</v>
      </c>
      <c r="H45" s="160"/>
      <c r="I45" s="160" t="s">
        <v>316</v>
      </c>
      <c r="J45" s="160" t="s">
        <v>316</v>
      </c>
      <c r="K45" s="160" t="s">
        <v>316</v>
      </c>
    </row>
    <row r="46" spans="2:11" ht="21" customHeight="1" thickBot="1" x14ac:dyDescent="0.3">
      <c r="B46" s="219" t="s">
        <v>168</v>
      </c>
      <c r="C46" s="123" t="s">
        <v>169</v>
      </c>
      <c r="D46" s="124" t="s">
        <v>137</v>
      </c>
      <c r="E46" s="160" t="s">
        <v>245</v>
      </c>
      <c r="F46" s="160" t="s">
        <v>245</v>
      </c>
      <c r="G46" s="160" t="s">
        <v>245</v>
      </c>
      <c r="H46" s="160"/>
      <c r="I46" s="160" t="s">
        <v>245</v>
      </c>
      <c r="J46" s="160" t="s">
        <v>245</v>
      </c>
      <c r="K46" s="160" t="s">
        <v>245</v>
      </c>
    </row>
    <row r="47" spans="2:11" ht="7.5" customHeight="1" thickTop="1" x14ac:dyDescent="0.25">
      <c r="B47" s="220"/>
      <c r="C47" s="221"/>
      <c r="D47" s="222"/>
      <c r="E47" s="223"/>
      <c r="F47" s="223"/>
      <c r="G47" s="223"/>
      <c r="H47" s="223"/>
      <c r="I47" s="223"/>
      <c r="J47" s="223"/>
      <c r="K47" s="223"/>
    </row>
    <row r="48" spans="2:11" ht="19.5" customHeight="1" x14ac:dyDescent="0.25">
      <c r="B48" s="877" t="s">
        <v>277</v>
      </c>
      <c r="C48" s="877"/>
      <c r="D48" s="877"/>
      <c r="E48" s="877"/>
      <c r="F48" s="877"/>
      <c r="G48" s="877"/>
      <c r="H48" s="877"/>
      <c r="I48" s="877"/>
    </row>
    <row r="49" spans="2:19" ht="19.5" customHeight="1" x14ac:dyDescent="0.25">
      <c r="B49" s="877" t="s">
        <v>226</v>
      </c>
      <c r="C49" s="877"/>
      <c r="D49" s="877"/>
      <c r="E49" s="877"/>
      <c r="F49" s="877"/>
      <c r="G49" s="877"/>
      <c r="H49" s="877"/>
      <c r="I49" s="877"/>
      <c r="J49" s="38"/>
      <c r="K49" s="39"/>
    </row>
    <row r="50" spans="2:19" ht="29.25" customHeight="1" x14ac:dyDescent="0.25">
      <c r="B50" s="880"/>
      <c r="C50" s="880"/>
      <c r="D50" s="880"/>
      <c r="E50" s="880"/>
      <c r="F50" s="880"/>
      <c r="G50" s="880"/>
      <c r="H50" s="880"/>
      <c r="I50" s="880"/>
      <c r="J50" s="880"/>
      <c r="K50" s="880"/>
    </row>
    <row r="51" spans="2:19" ht="19.5" customHeight="1" x14ac:dyDescent="0.25">
      <c r="B51" s="616"/>
      <c r="C51" s="616"/>
      <c r="D51" s="616"/>
      <c r="E51" s="616"/>
      <c r="F51" s="616"/>
      <c r="G51" s="616"/>
      <c r="H51" s="616"/>
      <c r="I51" s="616"/>
      <c r="J51" s="616"/>
      <c r="K51" s="616"/>
    </row>
    <row r="52" spans="2:19" ht="19.5" customHeight="1" x14ac:dyDescent="0.25">
      <c r="B52" s="40"/>
      <c r="C52" s="41"/>
      <c r="D52" s="41"/>
      <c r="E52" s="41"/>
      <c r="F52" s="41"/>
      <c r="G52" s="41"/>
      <c r="H52" s="41"/>
      <c r="I52" s="41"/>
      <c r="J52" s="37"/>
      <c r="K52" s="37"/>
    </row>
    <row r="53" spans="2:19" ht="22.5" customHeight="1" x14ac:dyDescent="0.25">
      <c r="B53" s="610" t="s">
        <v>228</v>
      </c>
      <c r="C53" s="610"/>
      <c r="D53" s="798"/>
      <c r="E53" s="798"/>
      <c r="F53" s="798"/>
      <c r="G53" s="798"/>
      <c r="H53" s="153"/>
      <c r="I53" s="153"/>
      <c r="J53" s="153"/>
      <c r="K53" s="611">
        <v>41</v>
      </c>
      <c r="L53" s="7"/>
      <c r="M53" s="7"/>
      <c r="N53" s="7"/>
      <c r="O53" s="7"/>
      <c r="P53" s="7"/>
      <c r="Q53" s="7"/>
      <c r="S53" s="9"/>
    </row>
    <row r="63" spans="2:19" x14ac:dyDescent="0.25">
      <c r="G63" s="42">
        <f>-E59</f>
        <v>0</v>
      </c>
    </row>
  </sheetData>
  <mergeCells count="20">
    <mergeCell ref="B31:C32"/>
    <mergeCell ref="D31:D32"/>
    <mergeCell ref="D28:G28"/>
    <mergeCell ref="D53:G53"/>
    <mergeCell ref="B23:I23"/>
    <mergeCell ref="B24:K24"/>
    <mergeCell ref="E31:G31"/>
    <mergeCell ref="I31:K31"/>
    <mergeCell ref="B48:I48"/>
    <mergeCell ref="B50:K50"/>
    <mergeCell ref="B29:K29"/>
    <mergeCell ref="B30:K30"/>
    <mergeCell ref="B49:I49"/>
    <mergeCell ref="B22:I22"/>
    <mergeCell ref="B1:K1"/>
    <mergeCell ref="B2:K2"/>
    <mergeCell ref="B3:C4"/>
    <mergeCell ref="D3:D4"/>
    <mergeCell ref="E3:G3"/>
    <mergeCell ref="I3:K3"/>
  </mergeCells>
  <printOptions horizontalCentered="1"/>
  <pageMargins left="0.43307086614173229" right="0.43307086614173229" top="0.59055118110236227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312"/>
  <sheetViews>
    <sheetView rightToLeft="1" view="pageBreakPreview" zoomScaleNormal="90" zoomScaleSheetLayoutView="100" workbookViewId="0">
      <selection sqref="A1:K1"/>
    </sheetView>
  </sheetViews>
  <sheetFormatPr defaultRowHeight="23.25" customHeight="1" x14ac:dyDescent="0.25"/>
  <cols>
    <col min="2" max="2" width="9.7109375" customWidth="1"/>
    <col min="3" max="3" width="11" customWidth="1"/>
    <col min="4" max="4" width="10.28515625" customWidth="1"/>
    <col min="5" max="7" width="8.5703125" customWidth="1"/>
    <col min="8" max="8" width="2.140625" customWidth="1"/>
    <col min="9" max="9" width="8.5703125" customWidth="1"/>
    <col min="10" max="10" width="8.140625" customWidth="1"/>
    <col min="11" max="11" width="8.5703125" customWidth="1"/>
    <col min="14" max="14" width="8.7109375" customWidth="1"/>
    <col min="15" max="15" width="10.42578125" customWidth="1"/>
    <col min="16" max="16" width="7.5703125" customWidth="1"/>
    <col min="17" max="19" width="8.5703125" customWidth="1"/>
    <col min="20" max="20" width="2.140625" customWidth="1"/>
    <col min="21" max="23" width="8.5703125" customWidth="1"/>
  </cols>
  <sheetData>
    <row r="1" spans="1:11" ht="23.25" customHeight="1" x14ac:dyDescent="0.25">
      <c r="A1" s="814" t="s">
        <v>459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</row>
    <row r="2" spans="1:11" ht="23.25" customHeight="1" x14ac:dyDescent="0.25">
      <c r="A2" s="814" t="s">
        <v>75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</row>
    <row r="3" spans="1:11" s="155" customFormat="1" ht="23.25" customHeight="1" thickBot="1" x14ac:dyDescent="0.3">
      <c r="A3" s="795" t="s">
        <v>489</v>
      </c>
      <c r="B3" s="795"/>
      <c r="C3" s="795"/>
      <c r="D3" s="795"/>
      <c r="E3" s="795"/>
      <c r="F3" s="795"/>
      <c r="G3" s="795"/>
      <c r="H3" s="795"/>
      <c r="I3" s="795"/>
      <c r="J3" s="795"/>
      <c r="K3" s="795"/>
    </row>
    <row r="4" spans="1:11" ht="23.25" customHeight="1" thickTop="1" x14ac:dyDescent="0.25">
      <c r="A4" s="761" t="s">
        <v>201</v>
      </c>
      <c r="B4" s="761"/>
      <c r="C4" s="661"/>
      <c r="D4" s="761" t="s">
        <v>170</v>
      </c>
      <c r="E4" s="796" t="s">
        <v>272</v>
      </c>
      <c r="F4" s="796"/>
      <c r="G4" s="796"/>
      <c r="H4" s="663"/>
      <c r="I4" s="796" t="s">
        <v>113</v>
      </c>
      <c r="J4" s="796"/>
      <c r="K4" s="796"/>
    </row>
    <row r="5" spans="1:11" s="134" customFormat="1" ht="23.25" customHeight="1" x14ac:dyDescent="0.2">
      <c r="A5" s="762"/>
      <c r="B5" s="762"/>
      <c r="C5" s="664"/>
      <c r="D5" s="762"/>
      <c r="E5" s="181" t="s">
        <v>97</v>
      </c>
      <c r="F5" s="181" t="s">
        <v>98</v>
      </c>
      <c r="G5" s="181" t="s">
        <v>114</v>
      </c>
      <c r="H5" s="175"/>
      <c r="I5" s="181" t="s">
        <v>97</v>
      </c>
      <c r="J5" s="181" t="s">
        <v>98</v>
      </c>
      <c r="K5" s="181" t="s">
        <v>114</v>
      </c>
    </row>
    <row r="6" spans="1:11" ht="23.25" customHeight="1" x14ac:dyDescent="0.25">
      <c r="A6" s="884" t="s">
        <v>120</v>
      </c>
      <c r="B6" s="884"/>
      <c r="C6" s="128" t="s">
        <v>171</v>
      </c>
      <c r="D6" s="18" t="s">
        <v>121</v>
      </c>
      <c r="E6" s="415">
        <v>1.8</v>
      </c>
      <c r="F6" s="415">
        <v>43</v>
      </c>
      <c r="G6" s="415">
        <v>7.41</v>
      </c>
      <c r="H6" s="206"/>
      <c r="I6" s="63">
        <v>0.43</v>
      </c>
      <c r="J6" s="63">
        <v>5</v>
      </c>
      <c r="K6" s="415">
        <v>2.63</v>
      </c>
    </row>
    <row r="7" spans="1:11" ht="23.25" customHeight="1" x14ac:dyDescent="0.25">
      <c r="A7" s="881" t="s">
        <v>172</v>
      </c>
      <c r="B7" s="881"/>
      <c r="C7" s="129" t="s">
        <v>173</v>
      </c>
      <c r="D7" s="18" t="s">
        <v>121</v>
      </c>
      <c r="E7" s="415">
        <v>160</v>
      </c>
      <c r="F7" s="415">
        <v>258</v>
      </c>
      <c r="G7" s="415">
        <v>202.05</v>
      </c>
      <c r="H7" s="206"/>
      <c r="I7" s="63">
        <v>148</v>
      </c>
      <c r="J7" s="63">
        <v>448</v>
      </c>
      <c r="K7" s="415">
        <v>201.59</v>
      </c>
    </row>
    <row r="8" spans="1:11" ht="23.25" customHeight="1" x14ac:dyDescent="0.25">
      <c r="A8" s="881" t="s">
        <v>123</v>
      </c>
      <c r="B8" s="881"/>
      <c r="C8" s="129" t="s">
        <v>174</v>
      </c>
      <c r="D8" s="18" t="s">
        <v>121</v>
      </c>
      <c r="E8" s="415">
        <v>130</v>
      </c>
      <c r="F8" s="415">
        <v>155</v>
      </c>
      <c r="G8" s="415">
        <v>139.22999999999999</v>
      </c>
      <c r="H8" s="206"/>
      <c r="I8" s="63">
        <v>106</v>
      </c>
      <c r="J8" s="63">
        <v>220</v>
      </c>
      <c r="K8" s="415">
        <v>138.94999999999999</v>
      </c>
    </row>
    <row r="9" spans="1:11" ht="23.25" customHeight="1" x14ac:dyDescent="0.25">
      <c r="A9" s="885" t="s">
        <v>175</v>
      </c>
      <c r="B9" s="885"/>
      <c r="C9" s="129" t="s">
        <v>176</v>
      </c>
      <c r="D9" s="18" t="s">
        <v>121</v>
      </c>
      <c r="E9" s="415">
        <v>232</v>
      </c>
      <c r="F9" s="415">
        <v>382</v>
      </c>
      <c r="G9" s="415">
        <v>278</v>
      </c>
      <c r="H9" s="206"/>
      <c r="I9" s="63">
        <v>200</v>
      </c>
      <c r="J9" s="63">
        <v>980</v>
      </c>
      <c r="K9" s="415">
        <v>280</v>
      </c>
    </row>
    <row r="10" spans="1:11" ht="23.25" customHeight="1" x14ac:dyDescent="0.25">
      <c r="A10" s="881" t="s">
        <v>177</v>
      </c>
      <c r="B10" s="881"/>
      <c r="C10" s="129" t="s">
        <v>122</v>
      </c>
      <c r="D10" s="182"/>
      <c r="E10" s="415">
        <v>7</v>
      </c>
      <c r="F10" s="415">
        <v>8</v>
      </c>
      <c r="G10" s="415">
        <v>7.6</v>
      </c>
      <c r="H10" s="206"/>
      <c r="I10" s="63">
        <v>6.9</v>
      </c>
      <c r="J10" s="63">
        <v>8.3000000000000007</v>
      </c>
      <c r="K10" s="415">
        <v>7.51</v>
      </c>
    </row>
    <row r="11" spans="1:11" ht="23.25" customHeight="1" x14ac:dyDescent="0.25">
      <c r="A11" s="881" t="s">
        <v>178</v>
      </c>
      <c r="B11" s="881"/>
      <c r="C11" s="129" t="s">
        <v>179</v>
      </c>
      <c r="D11" s="18" t="s">
        <v>121</v>
      </c>
      <c r="E11" s="415">
        <v>10</v>
      </c>
      <c r="F11" s="415">
        <v>22</v>
      </c>
      <c r="G11" s="415">
        <v>17.41</v>
      </c>
      <c r="H11" s="206"/>
      <c r="I11" s="63">
        <v>12</v>
      </c>
      <c r="J11" s="63">
        <v>128</v>
      </c>
      <c r="K11" s="415">
        <v>19.71</v>
      </c>
    </row>
    <row r="12" spans="1:11" ht="23.25" customHeight="1" x14ac:dyDescent="0.25">
      <c r="A12" s="881" t="s">
        <v>180</v>
      </c>
      <c r="B12" s="881"/>
      <c r="C12" s="129" t="s">
        <v>181</v>
      </c>
      <c r="D12" s="18" t="s">
        <v>121</v>
      </c>
      <c r="E12" s="415">
        <v>47.5</v>
      </c>
      <c r="F12" s="415">
        <v>76</v>
      </c>
      <c r="G12" s="415">
        <v>53.43</v>
      </c>
      <c r="H12" s="206"/>
      <c r="I12" s="63">
        <v>37.9</v>
      </c>
      <c r="J12" s="63">
        <v>80</v>
      </c>
      <c r="K12" s="63">
        <v>52.59</v>
      </c>
    </row>
    <row r="13" spans="1:11" ht="23.25" customHeight="1" x14ac:dyDescent="0.25">
      <c r="A13" s="881" t="s">
        <v>182</v>
      </c>
      <c r="B13" s="881"/>
      <c r="C13" s="129" t="s">
        <v>183</v>
      </c>
      <c r="D13" s="18" t="s">
        <v>121</v>
      </c>
      <c r="E13" s="415">
        <v>9.8000000000000007</v>
      </c>
      <c r="F13" s="415">
        <v>23.9</v>
      </c>
      <c r="G13" s="415">
        <v>16.649999999999999</v>
      </c>
      <c r="H13" s="206"/>
      <c r="I13" s="63">
        <v>10.7</v>
      </c>
      <c r="J13" s="63">
        <v>70.3</v>
      </c>
      <c r="K13" s="415">
        <v>17.059999999999999</v>
      </c>
    </row>
    <row r="14" spans="1:11" ht="23.25" customHeight="1" x14ac:dyDescent="0.25">
      <c r="A14" s="881" t="s">
        <v>184</v>
      </c>
      <c r="B14" s="881"/>
      <c r="C14" s="130" t="s">
        <v>185</v>
      </c>
      <c r="D14" s="131" t="s">
        <v>134</v>
      </c>
      <c r="E14" s="415">
        <v>375</v>
      </c>
      <c r="F14" s="415">
        <v>606</v>
      </c>
      <c r="G14" s="415">
        <v>443.27</v>
      </c>
      <c r="H14" s="206"/>
      <c r="I14" s="63">
        <v>307</v>
      </c>
      <c r="J14" s="472">
        <v>1514</v>
      </c>
      <c r="K14" s="415">
        <v>444.45</v>
      </c>
    </row>
    <row r="15" spans="1:11" ht="23.25" customHeight="1" x14ac:dyDescent="0.25">
      <c r="A15" s="882" t="s">
        <v>186</v>
      </c>
      <c r="B15" s="882"/>
      <c r="C15" s="129" t="s">
        <v>187</v>
      </c>
      <c r="D15" s="18" t="s">
        <v>121</v>
      </c>
      <c r="E15" s="415">
        <v>7</v>
      </c>
      <c r="F15" s="415">
        <v>12.5</v>
      </c>
      <c r="G15" s="415">
        <v>9.19</v>
      </c>
      <c r="H15" s="206"/>
      <c r="I15" s="63">
        <v>6.2</v>
      </c>
      <c r="J15" s="63">
        <v>61</v>
      </c>
      <c r="K15" s="415">
        <v>10.26</v>
      </c>
    </row>
    <row r="16" spans="1:11" ht="23.25" customHeight="1" x14ac:dyDescent="0.25">
      <c r="A16" s="882" t="s">
        <v>188</v>
      </c>
      <c r="B16" s="882"/>
      <c r="C16" s="129" t="s">
        <v>189</v>
      </c>
      <c r="D16" s="18" t="s">
        <v>121</v>
      </c>
      <c r="E16" s="415">
        <v>1.2</v>
      </c>
      <c r="F16" s="415">
        <v>3.9</v>
      </c>
      <c r="G16" s="415">
        <v>2.0499999999999998</v>
      </c>
      <c r="H16" s="206"/>
      <c r="I16" s="63">
        <v>0.9</v>
      </c>
      <c r="J16" s="63">
        <v>3.7</v>
      </c>
      <c r="K16" s="415">
        <v>1.97</v>
      </c>
    </row>
    <row r="17" spans="1:11" ht="23.25" customHeight="1" thickBot="1" x14ac:dyDescent="0.3">
      <c r="A17" s="883" t="s">
        <v>190</v>
      </c>
      <c r="B17" s="883"/>
      <c r="C17" s="132" t="s">
        <v>191</v>
      </c>
      <c r="D17" s="133" t="s">
        <v>121</v>
      </c>
      <c r="E17" s="416">
        <v>38</v>
      </c>
      <c r="F17" s="416">
        <v>93</v>
      </c>
      <c r="G17" s="416">
        <v>59.53</v>
      </c>
      <c r="H17" s="207"/>
      <c r="I17" s="64">
        <v>37</v>
      </c>
      <c r="J17" s="64">
        <v>218</v>
      </c>
      <c r="K17" s="416">
        <v>59.42</v>
      </c>
    </row>
    <row r="18" spans="1:11" s="28" customFormat="1" ht="23.25" customHeight="1" thickTop="1" x14ac:dyDescent="0.65">
      <c r="A18" s="600"/>
      <c r="B18" s="598"/>
      <c r="C18" s="598"/>
      <c r="D18" s="598"/>
      <c r="E18" s="599"/>
      <c r="F18" s="599"/>
      <c r="G18" s="115"/>
      <c r="H18" s="115"/>
      <c r="I18" s="115"/>
      <c r="J18" s="115"/>
      <c r="K18" s="117"/>
    </row>
    <row r="19" spans="1:11" ht="23.25" customHeight="1" x14ac:dyDescent="0.25">
      <c r="A19" s="814" t="s">
        <v>459</v>
      </c>
      <c r="B19" s="814"/>
      <c r="C19" s="814"/>
      <c r="D19" s="814"/>
      <c r="E19" s="814"/>
      <c r="F19" s="814"/>
      <c r="G19" s="814"/>
      <c r="H19" s="814"/>
      <c r="I19" s="814"/>
      <c r="J19" s="814"/>
      <c r="K19" s="814"/>
    </row>
    <row r="20" spans="1:11" ht="23.25" customHeight="1" x14ac:dyDescent="0.25">
      <c r="A20" s="814" t="s">
        <v>76</v>
      </c>
      <c r="B20" s="814"/>
      <c r="C20" s="814"/>
      <c r="D20" s="814"/>
      <c r="E20" s="814"/>
      <c r="F20" s="814"/>
      <c r="G20" s="814"/>
      <c r="H20" s="814"/>
      <c r="I20" s="814"/>
      <c r="J20" s="814"/>
      <c r="K20" s="814"/>
    </row>
    <row r="21" spans="1:11" ht="23.25" customHeight="1" thickBot="1" x14ac:dyDescent="0.3">
      <c r="A21" s="795" t="s">
        <v>490</v>
      </c>
      <c r="B21" s="795"/>
      <c r="C21" s="795"/>
      <c r="D21" s="795"/>
      <c r="E21" s="795"/>
      <c r="F21" s="795"/>
      <c r="G21" s="795"/>
      <c r="H21" s="795"/>
      <c r="I21" s="795"/>
      <c r="J21" s="795"/>
      <c r="K21" s="795"/>
    </row>
    <row r="22" spans="1:11" s="121" customFormat="1" ht="23.25" customHeight="1" thickTop="1" x14ac:dyDescent="0.2">
      <c r="A22" s="761" t="s">
        <v>201</v>
      </c>
      <c r="B22" s="761"/>
      <c r="C22" s="661"/>
      <c r="D22" s="761" t="s">
        <v>170</v>
      </c>
      <c r="E22" s="796" t="s">
        <v>272</v>
      </c>
      <c r="F22" s="796"/>
      <c r="G22" s="796"/>
      <c r="H22" s="663"/>
      <c r="I22" s="796" t="s">
        <v>113</v>
      </c>
      <c r="J22" s="796"/>
      <c r="K22" s="796"/>
    </row>
    <row r="23" spans="1:11" s="120" customFormat="1" ht="23.25" customHeight="1" x14ac:dyDescent="0.25">
      <c r="A23" s="762"/>
      <c r="B23" s="762"/>
      <c r="C23" s="664"/>
      <c r="D23" s="762"/>
      <c r="E23" s="181" t="s">
        <v>97</v>
      </c>
      <c r="F23" s="181" t="s">
        <v>98</v>
      </c>
      <c r="G23" s="181" t="s">
        <v>114</v>
      </c>
      <c r="H23" s="175"/>
      <c r="I23" s="181" t="s">
        <v>97</v>
      </c>
      <c r="J23" s="181" t="s">
        <v>98</v>
      </c>
      <c r="K23" s="181" t="s">
        <v>114</v>
      </c>
    </row>
    <row r="24" spans="1:11" ht="23.25" customHeight="1" x14ac:dyDescent="0.25">
      <c r="A24" s="884" t="s">
        <v>120</v>
      </c>
      <c r="B24" s="884"/>
      <c r="C24" s="128" t="s">
        <v>171</v>
      </c>
      <c r="D24" s="18" t="s">
        <v>121</v>
      </c>
      <c r="E24" s="196">
        <v>4.8</v>
      </c>
      <c r="F24" s="194">
        <v>130</v>
      </c>
      <c r="G24" s="195">
        <v>44.56</v>
      </c>
      <c r="H24" s="196"/>
      <c r="I24" s="196">
        <v>0.1</v>
      </c>
      <c r="J24" s="196">
        <v>4.8</v>
      </c>
      <c r="K24" s="195">
        <v>2.21</v>
      </c>
    </row>
    <row r="25" spans="1:11" ht="23.25" customHeight="1" x14ac:dyDescent="0.25">
      <c r="A25" s="881" t="s">
        <v>172</v>
      </c>
      <c r="B25" s="881"/>
      <c r="C25" s="129" t="s">
        <v>173</v>
      </c>
      <c r="D25" s="18" t="s">
        <v>121</v>
      </c>
      <c r="E25" s="197">
        <v>157</v>
      </c>
      <c r="F25" s="197">
        <v>236</v>
      </c>
      <c r="G25" s="198">
        <v>181.5</v>
      </c>
      <c r="H25" s="198"/>
      <c r="I25" s="197">
        <v>156</v>
      </c>
      <c r="J25" s="197">
        <v>591</v>
      </c>
      <c r="K25" s="199">
        <v>223.87</v>
      </c>
    </row>
    <row r="26" spans="1:11" ht="23.25" customHeight="1" x14ac:dyDescent="0.25">
      <c r="A26" s="881" t="s">
        <v>123</v>
      </c>
      <c r="B26" s="881"/>
      <c r="C26" s="129" t="s">
        <v>174</v>
      </c>
      <c r="D26" s="18" t="s">
        <v>121</v>
      </c>
      <c r="E26" s="197">
        <v>135</v>
      </c>
      <c r="F26" s="197">
        <v>183</v>
      </c>
      <c r="G26" s="199">
        <v>150.91999999999999</v>
      </c>
      <c r="H26" s="198"/>
      <c r="I26" s="197">
        <v>124</v>
      </c>
      <c r="J26" s="197">
        <v>277</v>
      </c>
      <c r="K26" s="199">
        <v>161.36000000000001</v>
      </c>
    </row>
    <row r="27" spans="1:11" ht="23.25" customHeight="1" x14ac:dyDescent="0.25">
      <c r="A27" s="885" t="s">
        <v>175</v>
      </c>
      <c r="B27" s="885"/>
      <c r="C27" s="129" t="s">
        <v>176</v>
      </c>
      <c r="D27" s="18" t="s">
        <v>121</v>
      </c>
      <c r="E27" s="197">
        <v>200</v>
      </c>
      <c r="F27" s="197">
        <v>366</v>
      </c>
      <c r="G27" s="197">
        <v>264</v>
      </c>
      <c r="H27" s="198"/>
      <c r="I27" s="197">
        <v>196</v>
      </c>
      <c r="J27" s="197">
        <v>1194</v>
      </c>
      <c r="K27" s="197">
        <v>256</v>
      </c>
    </row>
    <row r="28" spans="1:11" ht="23.25" customHeight="1" x14ac:dyDescent="0.25">
      <c r="A28" s="881" t="s">
        <v>177</v>
      </c>
      <c r="B28" s="881"/>
      <c r="C28" s="129" t="s">
        <v>122</v>
      </c>
      <c r="D28" s="182"/>
      <c r="E28" s="198">
        <v>7.2</v>
      </c>
      <c r="F28" s="198">
        <v>7.9</v>
      </c>
      <c r="G28" s="199">
        <v>7.24</v>
      </c>
      <c r="H28" s="198"/>
      <c r="I28" s="198">
        <v>7</v>
      </c>
      <c r="J28" s="198">
        <v>7.9</v>
      </c>
      <c r="K28" s="199">
        <v>7.56</v>
      </c>
    </row>
    <row r="29" spans="1:11" ht="23.25" customHeight="1" x14ac:dyDescent="0.25">
      <c r="A29" s="881" t="s">
        <v>178</v>
      </c>
      <c r="B29" s="881"/>
      <c r="C29" s="129" t="s">
        <v>179</v>
      </c>
      <c r="D29" s="18" t="s">
        <v>121</v>
      </c>
      <c r="E29" s="197">
        <v>11</v>
      </c>
      <c r="F29" s="197">
        <v>23</v>
      </c>
      <c r="G29" s="199">
        <v>14.13</v>
      </c>
      <c r="H29" s="198"/>
      <c r="I29" s="200">
        <v>10</v>
      </c>
      <c r="J29" s="200">
        <v>73</v>
      </c>
      <c r="K29" s="676">
        <v>22.05</v>
      </c>
    </row>
    <row r="30" spans="1:11" ht="23.25" customHeight="1" x14ac:dyDescent="0.25">
      <c r="A30" s="881" t="s">
        <v>180</v>
      </c>
      <c r="B30" s="881"/>
      <c r="C30" s="129" t="s">
        <v>181</v>
      </c>
      <c r="D30" s="18" t="s">
        <v>121</v>
      </c>
      <c r="E30" s="197">
        <v>15</v>
      </c>
      <c r="F30" s="197">
        <v>55</v>
      </c>
      <c r="G30" s="199">
        <v>43.15</v>
      </c>
      <c r="H30" s="201"/>
      <c r="I30" s="197">
        <v>14</v>
      </c>
      <c r="J30" s="197">
        <v>142</v>
      </c>
      <c r="K30" s="199">
        <v>51.21</v>
      </c>
    </row>
    <row r="31" spans="1:11" ht="23.25" customHeight="1" x14ac:dyDescent="0.25">
      <c r="A31" s="881" t="s">
        <v>182</v>
      </c>
      <c r="B31" s="881"/>
      <c r="C31" s="129" t="s">
        <v>183</v>
      </c>
      <c r="D31" s="18" t="s">
        <v>121</v>
      </c>
      <c r="E31" s="197">
        <v>13</v>
      </c>
      <c r="F31" s="197">
        <v>41</v>
      </c>
      <c r="G31" s="199">
        <v>18.350000000000001</v>
      </c>
      <c r="H31" s="198"/>
      <c r="I31" s="197">
        <v>12</v>
      </c>
      <c r="J31" s="197">
        <v>75</v>
      </c>
      <c r="K31" s="199">
        <v>25.79</v>
      </c>
    </row>
    <row r="32" spans="1:11" ht="23.25" customHeight="1" x14ac:dyDescent="0.25">
      <c r="A32" s="881" t="s">
        <v>184</v>
      </c>
      <c r="B32" s="881"/>
      <c r="C32" s="130" t="s">
        <v>185</v>
      </c>
      <c r="D32" s="131" t="s">
        <v>134</v>
      </c>
      <c r="E32" s="197">
        <v>344</v>
      </c>
      <c r="F32" s="197">
        <v>551</v>
      </c>
      <c r="G32" s="199">
        <v>391.41</v>
      </c>
      <c r="H32" s="202"/>
      <c r="I32" s="197">
        <v>325</v>
      </c>
      <c r="J32" s="197">
        <v>1355</v>
      </c>
      <c r="K32" s="199">
        <v>543.04</v>
      </c>
    </row>
    <row r="33" spans="1:11" ht="23.25" customHeight="1" x14ac:dyDescent="0.25">
      <c r="A33" s="882" t="s">
        <v>186</v>
      </c>
      <c r="B33" s="882"/>
      <c r="C33" s="129" t="s">
        <v>187</v>
      </c>
      <c r="D33" s="18" t="s">
        <v>121</v>
      </c>
      <c r="E33" s="202">
        <v>6.1</v>
      </c>
      <c r="F33" s="203">
        <v>25</v>
      </c>
      <c r="G33" s="677">
        <v>9.99</v>
      </c>
      <c r="H33" s="202"/>
      <c r="I33" s="197">
        <v>5</v>
      </c>
      <c r="J33" s="197">
        <v>125</v>
      </c>
      <c r="K33" s="199">
        <v>20.76</v>
      </c>
    </row>
    <row r="34" spans="1:11" ht="23.25" customHeight="1" x14ac:dyDescent="0.25">
      <c r="A34" s="882" t="s">
        <v>188</v>
      </c>
      <c r="B34" s="882"/>
      <c r="C34" s="129" t="s">
        <v>189</v>
      </c>
      <c r="D34" s="18" t="s">
        <v>121</v>
      </c>
      <c r="E34" s="202">
        <v>1.4</v>
      </c>
      <c r="F34" s="202">
        <v>3.6</v>
      </c>
      <c r="G34" s="677">
        <v>1.55</v>
      </c>
      <c r="H34" s="202"/>
      <c r="I34" s="202">
        <v>0.3</v>
      </c>
      <c r="J34" s="202">
        <v>3.6</v>
      </c>
      <c r="K34" s="677">
        <v>1.55</v>
      </c>
    </row>
    <row r="35" spans="1:11" ht="23.25" customHeight="1" thickBot="1" x14ac:dyDescent="0.3">
      <c r="A35" s="883" t="s">
        <v>190</v>
      </c>
      <c r="B35" s="883"/>
      <c r="C35" s="132" t="s">
        <v>191</v>
      </c>
      <c r="D35" s="133" t="s">
        <v>121</v>
      </c>
      <c r="E35" s="204">
        <v>23</v>
      </c>
      <c r="F35" s="204">
        <v>97</v>
      </c>
      <c r="G35" s="678">
        <v>36.409999999999997</v>
      </c>
      <c r="H35" s="205"/>
      <c r="I35" s="204">
        <v>7</v>
      </c>
      <c r="J35" s="204">
        <v>468</v>
      </c>
      <c r="K35" s="678">
        <v>83.58</v>
      </c>
    </row>
    <row r="36" spans="1:11" s="151" customFormat="1" ht="23.25" customHeight="1" thickTop="1" x14ac:dyDescent="0.25">
      <c r="A36" s="829" t="s">
        <v>324</v>
      </c>
      <c r="B36" s="829"/>
      <c r="C36" s="829"/>
      <c r="D36" s="829"/>
      <c r="E36" s="829"/>
      <c r="F36" s="829"/>
      <c r="G36" s="829"/>
      <c r="H36" s="829"/>
      <c r="I36" s="829"/>
      <c r="J36" s="829"/>
      <c r="K36" s="150" t="s">
        <v>91</v>
      </c>
    </row>
    <row r="37" spans="1:11" s="151" customFormat="1" ht="23.25" customHeight="1" x14ac:dyDescent="0.25">
      <c r="A37" s="729"/>
      <c r="B37" s="729"/>
      <c r="C37" s="729"/>
      <c r="D37" s="729"/>
      <c r="E37" s="729"/>
      <c r="F37" s="729"/>
      <c r="G37" s="729"/>
      <c r="H37" s="729"/>
      <c r="I37" s="729"/>
      <c r="J37" s="729"/>
      <c r="K37" s="150"/>
    </row>
    <row r="38" spans="1:11" ht="23.25" customHeight="1" x14ac:dyDescent="0.25">
      <c r="A38" s="665"/>
      <c r="B38" s="665"/>
      <c r="C38" s="665"/>
      <c r="D38" s="665"/>
      <c r="E38" s="665"/>
      <c r="F38" s="665"/>
      <c r="G38" s="665"/>
      <c r="H38" s="665"/>
      <c r="I38" s="665"/>
      <c r="J38" s="665"/>
    </row>
    <row r="39" spans="1:11" ht="23.25" customHeight="1" x14ac:dyDescent="0.25">
      <c r="A39" s="660" t="s">
        <v>228</v>
      </c>
      <c r="B39" s="660"/>
      <c r="C39" s="660"/>
      <c r="D39" s="660"/>
      <c r="E39" s="135"/>
      <c r="F39" s="135"/>
      <c r="G39" s="152"/>
      <c r="H39" s="152"/>
      <c r="I39" s="152"/>
      <c r="J39" s="152"/>
      <c r="K39" s="535">
        <v>42</v>
      </c>
    </row>
    <row r="40" spans="1:11" ht="23.25" customHeight="1" x14ac:dyDescent="0.25">
      <c r="A40" s="814" t="s">
        <v>459</v>
      </c>
      <c r="B40" s="814"/>
      <c r="C40" s="814"/>
      <c r="D40" s="814"/>
      <c r="E40" s="814"/>
      <c r="F40" s="814"/>
      <c r="G40" s="814"/>
      <c r="H40" s="814"/>
      <c r="I40" s="814"/>
      <c r="J40" s="814"/>
      <c r="K40" s="814"/>
    </row>
    <row r="41" spans="1:11" ht="23.25" customHeight="1" x14ac:dyDescent="0.25">
      <c r="A41" s="814" t="s">
        <v>77</v>
      </c>
      <c r="B41" s="814"/>
      <c r="C41" s="814"/>
      <c r="D41" s="814"/>
      <c r="E41" s="814"/>
      <c r="F41" s="814"/>
      <c r="G41" s="814"/>
      <c r="H41" s="814"/>
      <c r="I41" s="814"/>
      <c r="J41" s="814"/>
      <c r="K41" s="814"/>
    </row>
    <row r="42" spans="1:11" ht="23.25" customHeight="1" thickBot="1" x14ac:dyDescent="0.3">
      <c r="A42" s="795" t="s">
        <v>490</v>
      </c>
      <c r="B42" s="795"/>
      <c r="C42" s="795"/>
      <c r="D42" s="795"/>
      <c r="E42" s="795"/>
      <c r="F42" s="795"/>
      <c r="G42" s="795"/>
      <c r="H42" s="795"/>
      <c r="I42" s="795"/>
      <c r="J42" s="795"/>
      <c r="K42" s="795"/>
    </row>
    <row r="43" spans="1:11" ht="23.25" customHeight="1" thickTop="1" x14ac:dyDescent="0.25">
      <c r="A43" s="761" t="s">
        <v>201</v>
      </c>
      <c r="B43" s="761"/>
      <c r="C43" s="726"/>
      <c r="D43" s="761" t="s">
        <v>170</v>
      </c>
      <c r="E43" s="796" t="s">
        <v>272</v>
      </c>
      <c r="F43" s="796"/>
      <c r="G43" s="796"/>
      <c r="H43" s="722"/>
      <c r="I43" s="796" t="s">
        <v>113</v>
      </c>
      <c r="J43" s="796"/>
      <c r="K43" s="796"/>
    </row>
    <row r="44" spans="1:11" ht="23.25" customHeight="1" x14ac:dyDescent="0.25">
      <c r="A44" s="762"/>
      <c r="B44" s="762"/>
      <c r="C44" s="727"/>
      <c r="D44" s="762"/>
      <c r="E44" s="181" t="s">
        <v>97</v>
      </c>
      <c r="F44" s="181" t="s">
        <v>98</v>
      </c>
      <c r="G44" s="181" t="s">
        <v>114</v>
      </c>
      <c r="H44" s="175"/>
      <c r="I44" s="181" t="s">
        <v>97</v>
      </c>
      <c r="J44" s="181" t="s">
        <v>98</v>
      </c>
      <c r="K44" s="181" t="s">
        <v>114</v>
      </c>
    </row>
    <row r="45" spans="1:11" ht="23.25" customHeight="1" x14ac:dyDescent="0.25">
      <c r="A45" s="884" t="s">
        <v>120</v>
      </c>
      <c r="B45" s="884"/>
      <c r="C45" s="128" t="s">
        <v>171</v>
      </c>
      <c r="D45" s="18" t="s">
        <v>121</v>
      </c>
      <c r="E45" s="292">
        <v>1.8</v>
      </c>
      <c r="F45" s="471">
        <v>4225</v>
      </c>
      <c r="G45" s="292">
        <v>23.9</v>
      </c>
      <c r="H45" s="143"/>
      <c r="I45" s="292">
        <v>2</v>
      </c>
      <c r="J45" s="411">
        <v>29</v>
      </c>
      <c r="K45" s="143">
        <v>4.67</v>
      </c>
    </row>
    <row r="46" spans="1:11" ht="23.25" customHeight="1" x14ac:dyDescent="0.25">
      <c r="A46" s="881" t="s">
        <v>172</v>
      </c>
      <c r="B46" s="881"/>
      <c r="C46" s="129" t="s">
        <v>173</v>
      </c>
      <c r="D46" s="18" t="s">
        <v>121</v>
      </c>
      <c r="E46" s="129">
        <v>254</v>
      </c>
      <c r="F46" s="331">
        <v>1280</v>
      </c>
      <c r="G46" s="129">
        <v>300.45999999999998</v>
      </c>
      <c r="H46" s="129"/>
      <c r="I46" s="129">
        <v>222</v>
      </c>
      <c r="J46" s="331">
        <v>1310</v>
      </c>
      <c r="K46" s="129">
        <v>296.07</v>
      </c>
    </row>
    <row r="47" spans="1:11" ht="23.25" customHeight="1" x14ac:dyDescent="0.25">
      <c r="A47" s="881" t="s">
        <v>123</v>
      </c>
      <c r="B47" s="881"/>
      <c r="C47" s="129" t="s">
        <v>174</v>
      </c>
      <c r="D47" s="18" t="s">
        <v>121</v>
      </c>
      <c r="E47" s="63">
        <v>116</v>
      </c>
      <c r="F47" s="472">
        <v>252</v>
      </c>
      <c r="G47" s="63">
        <v>137.29</v>
      </c>
      <c r="H47" s="63"/>
      <c r="I47" s="63">
        <v>116</v>
      </c>
      <c r="J47" s="412">
        <v>260</v>
      </c>
      <c r="K47" s="63">
        <v>137.84</v>
      </c>
    </row>
    <row r="48" spans="1:11" ht="23.25" customHeight="1" x14ac:dyDescent="0.25">
      <c r="A48" s="885" t="s">
        <v>175</v>
      </c>
      <c r="B48" s="885"/>
      <c r="C48" s="129" t="s">
        <v>176</v>
      </c>
      <c r="D48" s="18" t="s">
        <v>121</v>
      </c>
      <c r="E48" s="63">
        <v>348</v>
      </c>
      <c r="F48" s="331">
        <v>1934</v>
      </c>
      <c r="G48" s="63">
        <v>496</v>
      </c>
      <c r="H48" s="63"/>
      <c r="I48" s="63">
        <v>358</v>
      </c>
      <c r="J48" s="331">
        <v>1792</v>
      </c>
      <c r="K48" s="63">
        <v>494</v>
      </c>
    </row>
    <row r="49" spans="1:11" ht="23.25" customHeight="1" x14ac:dyDescent="0.25">
      <c r="A49" s="881" t="s">
        <v>177</v>
      </c>
      <c r="B49" s="881"/>
      <c r="C49" s="129" t="s">
        <v>122</v>
      </c>
      <c r="D49" s="182"/>
      <c r="E49" s="225">
        <v>6.4</v>
      </c>
      <c r="F49" s="412">
        <v>8.6999999999999993</v>
      </c>
      <c r="G49" s="225">
        <v>7.7</v>
      </c>
      <c r="H49" s="144"/>
      <c r="I49" s="225">
        <v>6.5</v>
      </c>
      <c r="J49" s="412">
        <v>8.8000000000000007</v>
      </c>
      <c r="K49" s="144">
        <v>7.68</v>
      </c>
    </row>
    <row r="50" spans="1:11" ht="23.25" customHeight="1" x14ac:dyDescent="0.25">
      <c r="A50" s="881" t="s">
        <v>178</v>
      </c>
      <c r="B50" s="881"/>
      <c r="C50" s="129" t="s">
        <v>179</v>
      </c>
      <c r="D50" s="18" t="s">
        <v>121</v>
      </c>
      <c r="E50" s="63">
        <v>34</v>
      </c>
      <c r="F50" s="412">
        <v>254</v>
      </c>
      <c r="G50" s="63">
        <v>51.56</v>
      </c>
      <c r="H50" s="63"/>
      <c r="I50" s="63">
        <v>35</v>
      </c>
      <c r="J50" s="412">
        <v>260</v>
      </c>
      <c r="K50" s="63">
        <v>51.6</v>
      </c>
    </row>
    <row r="51" spans="1:11" ht="23.25" customHeight="1" x14ac:dyDescent="0.25">
      <c r="A51" s="881" t="s">
        <v>180</v>
      </c>
      <c r="B51" s="881"/>
      <c r="C51" s="129" t="s">
        <v>181</v>
      </c>
      <c r="D51" s="18" t="s">
        <v>121</v>
      </c>
      <c r="E51" s="63">
        <v>50</v>
      </c>
      <c r="F51" s="412">
        <v>290</v>
      </c>
      <c r="G51" s="63">
        <v>84.87</v>
      </c>
      <c r="H51" s="63"/>
      <c r="I51" s="63">
        <v>60</v>
      </c>
      <c r="J51" s="412">
        <v>298</v>
      </c>
      <c r="K51" s="63">
        <v>84.65</v>
      </c>
    </row>
    <row r="52" spans="1:11" ht="23.25" customHeight="1" x14ac:dyDescent="0.25">
      <c r="A52" s="881" t="s">
        <v>182</v>
      </c>
      <c r="B52" s="881"/>
      <c r="C52" s="129" t="s">
        <v>183</v>
      </c>
      <c r="D52" s="18" t="s">
        <v>121</v>
      </c>
      <c r="E52" s="63">
        <v>14</v>
      </c>
      <c r="F52" s="412">
        <v>133</v>
      </c>
      <c r="G52" s="63">
        <v>21.17</v>
      </c>
      <c r="H52" s="63"/>
      <c r="I52" s="63">
        <v>12</v>
      </c>
      <c r="J52" s="412">
        <v>135</v>
      </c>
      <c r="K52" s="63">
        <v>20.7</v>
      </c>
    </row>
    <row r="53" spans="1:11" ht="23.25" customHeight="1" x14ac:dyDescent="0.25">
      <c r="A53" s="881" t="s">
        <v>184</v>
      </c>
      <c r="B53" s="881"/>
      <c r="C53" s="130" t="s">
        <v>185</v>
      </c>
      <c r="D53" s="131" t="s">
        <v>134</v>
      </c>
      <c r="E53" s="130">
        <v>548</v>
      </c>
      <c r="F53" s="330">
        <v>2760</v>
      </c>
      <c r="G53" s="130">
        <v>775.37</v>
      </c>
      <c r="H53" s="130"/>
      <c r="I53" s="130">
        <v>556</v>
      </c>
      <c r="J53" s="331">
        <v>2800</v>
      </c>
      <c r="K53" s="130">
        <v>771.17</v>
      </c>
    </row>
    <row r="54" spans="1:11" ht="23.25" customHeight="1" x14ac:dyDescent="0.25">
      <c r="A54" s="882" t="s">
        <v>186</v>
      </c>
      <c r="B54" s="882"/>
      <c r="C54" s="129" t="s">
        <v>187</v>
      </c>
      <c r="D54" s="18" t="s">
        <v>121</v>
      </c>
      <c r="E54" s="63">
        <v>20</v>
      </c>
      <c r="F54" s="412">
        <v>188</v>
      </c>
      <c r="G54" s="63">
        <v>41.34</v>
      </c>
      <c r="H54" s="63"/>
      <c r="I54" s="63">
        <v>28</v>
      </c>
      <c r="J54" s="412">
        <v>180</v>
      </c>
      <c r="K54" s="63">
        <v>41.4</v>
      </c>
    </row>
    <row r="55" spans="1:11" ht="23.25" customHeight="1" x14ac:dyDescent="0.25">
      <c r="A55" s="882" t="s">
        <v>188</v>
      </c>
      <c r="B55" s="882"/>
      <c r="C55" s="129" t="s">
        <v>189</v>
      </c>
      <c r="D55" s="18" t="s">
        <v>121</v>
      </c>
      <c r="E55" s="225">
        <v>2.4</v>
      </c>
      <c r="F55" s="412">
        <v>17</v>
      </c>
      <c r="G55" s="144">
        <v>3.95</v>
      </c>
      <c r="H55" s="225"/>
      <c r="I55" s="294">
        <v>2</v>
      </c>
      <c r="J55" s="412">
        <v>17.5</v>
      </c>
      <c r="K55" s="144">
        <v>3.96</v>
      </c>
    </row>
    <row r="56" spans="1:11" ht="23.25" customHeight="1" thickBot="1" x14ac:dyDescent="0.3">
      <c r="A56" s="883" t="s">
        <v>190</v>
      </c>
      <c r="B56" s="883"/>
      <c r="C56" s="132" t="s">
        <v>191</v>
      </c>
      <c r="D56" s="133" t="s">
        <v>121</v>
      </c>
      <c r="E56" s="64">
        <v>134</v>
      </c>
      <c r="F56" s="413">
        <v>920</v>
      </c>
      <c r="G56" s="64">
        <v>201.79</v>
      </c>
      <c r="H56" s="64"/>
      <c r="I56" s="64">
        <v>135</v>
      </c>
      <c r="J56" s="413">
        <v>940</v>
      </c>
      <c r="K56" s="64">
        <v>200.01</v>
      </c>
    </row>
    <row r="57" spans="1:11" ht="23.25" customHeight="1" thickTop="1" x14ac:dyDescent="0.65">
      <c r="A57" s="116"/>
      <c r="B57" s="116"/>
      <c r="C57" s="116"/>
      <c r="D57" s="116"/>
      <c r="E57" s="115"/>
      <c r="F57" s="414"/>
      <c r="G57" s="115"/>
      <c r="H57" s="115"/>
      <c r="I57" s="115"/>
      <c r="J57" s="414"/>
      <c r="K57" s="117"/>
    </row>
    <row r="58" spans="1:11" ht="23.25" customHeight="1" x14ac:dyDescent="0.25">
      <c r="A58" s="814" t="s">
        <v>459</v>
      </c>
      <c r="B58" s="814"/>
      <c r="C58" s="814"/>
      <c r="D58" s="814"/>
      <c r="E58" s="814"/>
      <c r="F58" s="814"/>
      <c r="G58" s="814"/>
      <c r="H58" s="814"/>
      <c r="I58" s="814"/>
      <c r="J58" s="814"/>
      <c r="K58" s="814"/>
    </row>
    <row r="59" spans="1:11" ht="23.25" customHeight="1" x14ac:dyDescent="0.25">
      <c r="A59" s="814" t="s">
        <v>330</v>
      </c>
      <c r="B59" s="814"/>
      <c r="C59" s="814"/>
      <c r="D59" s="814"/>
      <c r="E59" s="814"/>
      <c r="F59" s="814"/>
      <c r="G59" s="814"/>
      <c r="H59" s="814"/>
      <c r="I59" s="814"/>
      <c r="J59" s="814"/>
      <c r="K59" s="814"/>
    </row>
    <row r="60" spans="1:11" ht="23.25" customHeight="1" thickBot="1" x14ac:dyDescent="0.3">
      <c r="A60" s="795" t="s">
        <v>490</v>
      </c>
      <c r="B60" s="795"/>
      <c r="C60" s="795"/>
      <c r="D60" s="795"/>
      <c r="E60" s="795"/>
      <c r="F60" s="795"/>
      <c r="G60" s="795"/>
      <c r="H60" s="795"/>
      <c r="I60" s="795"/>
      <c r="J60" s="795"/>
      <c r="K60" s="795"/>
    </row>
    <row r="61" spans="1:11" ht="23.25" customHeight="1" thickTop="1" x14ac:dyDescent="0.25">
      <c r="A61" s="761" t="s">
        <v>201</v>
      </c>
      <c r="B61" s="761"/>
      <c r="C61" s="726"/>
      <c r="D61" s="761" t="s">
        <v>170</v>
      </c>
      <c r="E61" s="796" t="s">
        <v>272</v>
      </c>
      <c r="F61" s="796"/>
      <c r="G61" s="796"/>
      <c r="H61" s="722"/>
      <c r="I61" s="796" t="s">
        <v>113</v>
      </c>
      <c r="J61" s="796"/>
      <c r="K61" s="796"/>
    </row>
    <row r="62" spans="1:11" ht="23.25" customHeight="1" x14ac:dyDescent="0.25">
      <c r="A62" s="762"/>
      <c r="B62" s="762"/>
      <c r="C62" s="727"/>
      <c r="D62" s="762"/>
      <c r="E62" s="181" t="s">
        <v>97</v>
      </c>
      <c r="F62" s="181" t="s">
        <v>98</v>
      </c>
      <c r="G62" s="181" t="s">
        <v>114</v>
      </c>
      <c r="H62" s="175"/>
      <c r="I62" s="181" t="s">
        <v>97</v>
      </c>
      <c r="J62" s="181" t="s">
        <v>98</v>
      </c>
      <c r="K62" s="181" t="s">
        <v>114</v>
      </c>
    </row>
    <row r="63" spans="1:11" ht="23.25" customHeight="1" x14ac:dyDescent="0.25">
      <c r="A63" s="884" t="s">
        <v>120</v>
      </c>
      <c r="B63" s="884"/>
      <c r="C63" s="128" t="s">
        <v>171</v>
      </c>
      <c r="D63" s="18" t="s">
        <v>121</v>
      </c>
      <c r="E63" s="63">
        <v>0.7</v>
      </c>
      <c r="F63" s="412">
        <v>36</v>
      </c>
      <c r="G63" s="63">
        <v>5.89</v>
      </c>
      <c r="H63" s="206"/>
      <c r="I63" s="63">
        <v>0.6</v>
      </c>
      <c r="J63" s="412">
        <v>5</v>
      </c>
      <c r="K63" s="415">
        <v>2.3199999999999998</v>
      </c>
    </row>
    <row r="64" spans="1:11" ht="23.25" customHeight="1" x14ac:dyDescent="0.25">
      <c r="A64" s="881" t="s">
        <v>172</v>
      </c>
      <c r="B64" s="881"/>
      <c r="C64" s="129" t="s">
        <v>173</v>
      </c>
      <c r="D64" s="18" t="s">
        <v>121</v>
      </c>
      <c r="E64" s="63">
        <v>197</v>
      </c>
      <c r="F64" s="412">
        <v>394</v>
      </c>
      <c r="G64" s="63">
        <v>272.17</v>
      </c>
      <c r="H64" s="206"/>
      <c r="I64" s="63">
        <v>198</v>
      </c>
      <c r="J64" s="412">
        <v>396</v>
      </c>
      <c r="K64" s="415">
        <v>277.23</v>
      </c>
    </row>
    <row r="65" spans="1:11" ht="23.25" customHeight="1" x14ac:dyDescent="0.25">
      <c r="A65" s="881" t="s">
        <v>123</v>
      </c>
      <c r="B65" s="881"/>
      <c r="C65" s="129" t="s">
        <v>174</v>
      </c>
      <c r="D65" s="18" t="s">
        <v>121</v>
      </c>
      <c r="E65" s="63">
        <v>84</v>
      </c>
      <c r="F65" s="412">
        <v>143</v>
      </c>
      <c r="G65" s="63">
        <v>113.68</v>
      </c>
      <c r="H65" s="206"/>
      <c r="I65" s="63">
        <v>87</v>
      </c>
      <c r="J65" s="412">
        <v>147</v>
      </c>
      <c r="K65" s="415">
        <v>113.06</v>
      </c>
    </row>
    <row r="66" spans="1:11" ht="23.25" customHeight="1" x14ac:dyDescent="0.25">
      <c r="A66" s="885" t="s">
        <v>175</v>
      </c>
      <c r="B66" s="885"/>
      <c r="C66" s="129" t="s">
        <v>176</v>
      </c>
      <c r="D66" s="18" t="s">
        <v>121</v>
      </c>
      <c r="E66" s="63">
        <v>346</v>
      </c>
      <c r="F66" s="472">
        <v>730</v>
      </c>
      <c r="G66" s="63">
        <v>516.92999999999995</v>
      </c>
      <c r="H66" s="206"/>
      <c r="I66" s="63">
        <v>340</v>
      </c>
      <c r="J66" s="472">
        <v>876</v>
      </c>
      <c r="K66" s="415">
        <v>518</v>
      </c>
    </row>
    <row r="67" spans="1:11" ht="23.25" customHeight="1" x14ac:dyDescent="0.25">
      <c r="A67" s="881" t="s">
        <v>177</v>
      </c>
      <c r="B67" s="881"/>
      <c r="C67" s="129" t="s">
        <v>122</v>
      </c>
      <c r="D67" s="182"/>
      <c r="E67" s="63">
        <v>6.8</v>
      </c>
      <c r="F67" s="412">
        <v>8.9</v>
      </c>
      <c r="G67" s="63">
        <v>8.02</v>
      </c>
      <c r="H67" s="206"/>
      <c r="I67" s="63">
        <v>7</v>
      </c>
      <c r="J67" s="412">
        <v>8.5</v>
      </c>
      <c r="K67" s="415">
        <v>7.95</v>
      </c>
    </row>
    <row r="68" spans="1:11" ht="23.25" customHeight="1" x14ac:dyDescent="0.25">
      <c r="A68" s="881" t="s">
        <v>178</v>
      </c>
      <c r="B68" s="881"/>
      <c r="C68" s="129" t="s">
        <v>179</v>
      </c>
      <c r="D68" s="18" t="s">
        <v>121</v>
      </c>
      <c r="E68" s="63">
        <v>51</v>
      </c>
      <c r="F68" s="412">
        <v>100</v>
      </c>
      <c r="G68" s="63">
        <v>80.97</v>
      </c>
      <c r="H68" s="206"/>
      <c r="I68" s="63">
        <v>50</v>
      </c>
      <c r="J68" s="412">
        <v>105</v>
      </c>
      <c r="K68" s="415">
        <v>80.709999999999994</v>
      </c>
    </row>
    <row r="69" spans="1:11" ht="23.25" customHeight="1" x14ac:dyDescent="0.25">
      <c r="A69" s="881" t="s">
        <v>180</v>
      </c>
      <c r="B69" s="881"/>
      <c r="C69" s="129" t="s">
        <v>181</v>
      </c>
      <c r="D69" s="18" t="s">
        <v>121</v>
      </c>
      <c r="E69" s="63">
        <v>16</v>
      </c>
      <c r="F69" s="412">
        <v>108</v>
      </c>
      <c r="G69" s="63">
        <v>69.2</v>
      </c>
      <c r="H69" s="206"/>
      <c r="I69" s="63">
        <v>48</v>
      </c>
      <c r="J69" s="412">
        <v>173</v>
      </c>
      <c r="K69" s="415">
        <v>69.739999999999995</v>
      </c>
    </row>
    <row r="70" spans="1:11" ht="23.25" customHeight="1" x14ac:dyDescent="0.25">
      <c r="A70" s="881" t="s">
        <v>182</v>
      </c>
      <c r="B70" s="881"/>
      <c r="C70" s="129" t="s">
        <v>183</v>
      </c>
      <c r="D70" s="18" t="s">
        <v>121</v>
      </c>
      <c r="E70" s="63">
        <v>11</v>
      </c>
      <c r="F70" s="412">
        <v>39</v>
      </c>
      <c r="G70" s="63">
        <v>24.14</v>
      </c>
      <c r="H70" s="206"/>
      <c r="I70" s="63">
        <v>10</v>
      </c>
      <c r="J70" s="412">
        <v>35</v>
      </c>
      <c r="K70" s="415">
        <v>23.92</v>
      </c>
    </row>
    <row r="71" spans="1:11" ht="23.25" customHeight="1" x14ac:dyDescent="0.25">
      <c r="A71" s="881" t="s">
        <v>184</v>
      </c>
      <c r="B71" s="881"/>
      <c r="C71" s="130" t="s">
        <v>185</v>
      </c>
      <c r="D71" s="131" t="s">
        <v>134</v>
      </c>
      <c r="E71" s="412">
        <v>499</v>
      </c>
      <c r="F71" s="331">
        <v>1082</v>
      </c>
      <c r="G71" s="412">
        <v>775.35</v>
      </c>
      <c r="H71" s="474"/>
      <c r="I71" s="412">
        <v>491</v>
      </c>
      <c r="J71" s="331">
        <v>1050</v>
      </c>
      <c r="K71" s="412">
        <v>778.62</v>
      </c>
    </row>
    <row r="72" spans="1:11" ht="23.25" customHeight="1" x14ac:dyDescent="0.25">
      <c r="A72" s="882" t="s">
        <v>186</v>
      </c>
      <c r="B72" s="882"/>
      <c r="C72" s="129" t="s">
        <v>187</v>
      </c>
      <c r="D72" s="18" t="s">
        <v>121</v>
      </c>
      <c r="E72" s="63">
        <v>31</v>
      </c>
      <c r="F72" s="412">
        <v>87</v>
      </c>
      <c r="G72" s="63">
        <v>53.85</v>
      </c>
      <c r="H72" s="206"/>
      <c r="I72" s="63">
        <v>33</v>
      </c>
      <c r="J72" s="412">
        <v>78</v>
      </c>
      <c r="K72" s="415">
        <v>54.02</v>
      </c>
    </row>
    <row r="73" spans="1:11" ht="23.25" customHeight="1" x14ac:dyDescent="0.25">
      <c r="A73" s="882" t="s">
        <v>188</v>
      </c>
      <c r="B73" s="882"/>
      <c r="C73" s="129" t="s">
        <v>189</v>
      </c>
      <c r="D73" s="18" t="s">
        <v>121</v>
      </c>
      <c r="E73" s="63">
        <v>1.6</v>
      </c>
      <c r="F73" s="412">
        <v>7.4</v>
      </c>
      <c r="G73" s="63">
        <v>3.45</v>
      </c>
      <c r="H73" s="206"/>
      <c r="I73" s="63">
        <v>1.9</v>
      </c>
      <c r="J73" s="412">
        <v>6.3</v>
      </c>
      <c r="K73" s="415">
        <v>3.43</v>
      </c>
    </row>
    <row r="74" spans="1:11" ht="23.25" customHeight="1" thickBot="1" x14ac:dyDescent="0.3">
      <c r="A74" s="883" t="s">
        <v>190</v>
      </c>
      <c r="B74" s="883"/>
      <c r="C74" s="132" t="s">
        <v>191</v>
      </c>
      <c r="D74" s="133" t="s">
        <v>121</v>
      </c>
      <c r="E74" s="63">
        <v>118</v>
      </c>
      <c r="F74" s="412">
        <v>253</v>
      </c>
      <c r="G74" s="63">
        <v>177.7</v>
      </c>
      <c r="H74" s="207"/>
      <c r="I74" s="64">
        <v>115</v>
      </c>
      <c r="J74" s="473">
        <v>293</v>
      </c>
      <c r="K74" s="416">
        <v>178</v>
      </c>
    </row>
    <row r="75" spans="1:11" ht="23.25" customHeight="1" thickTop="1" x14ac:dyDescent="0.25">
      <c r="A75" s="608" t="s">
        <v>324</v>
      </c>
      <c r="B75" s="608"/>
      <c r="C75" s="608"/>
      <c r="D75" s="608"/>
      <c r="E75" s="608"/>
      <c r="F75" s="608"/>
      <c r="G75" s="608"/>
      <c r="H75" s="608"/>
      <c r="I75" s="98"/>
      <c r="J75" s="417"/>
      <c r="K75" s="150" t="s">
        <v>91</v>
      </c>
    </row>
    <row r="76" spans="1:11" ht="23.25" customHeight="1" x14ac:dyDescent="0.25">
      <c r="A76" s="658"/>
      <c r="B76" s="658"/>
      <c r="C76" s="658"/>
      <c r="D76" s="658"/>
      <c r="E76" s="658"/>
      <c r="F76" s="658"/>
      <c r="G76" s="658"/>
      <c r="H76" s="658"/>
      <c r="I76" s="98"/>
      <c r="J76" s="417"/>
      <c r="K76" s="150"/>
    </row>
    <row r="77" spans="1:11" ht="23.25" customHeight="1" x14ac:dyDescent="0.25">
      <c r="A77" s="729"/>
      <c r="B77" s="729"/>
      <c r="C77" s="729"/>
      <c r="D77" s="729"/>
      <c r="E77" s="729"/>
      <c r="F77" s="729"/>
      <c r="G77" s="729"/>
      <c r="H77" s="729"/>
      <c r="I77" s="729"/>
      <c r="J77" s="418"/>
      <c r="K77" s="729"/>
    </row>
    <row r="78" spans="1:11" ht="23.25" customHeight="1" x14ac:dyDescent="0.25">
      <c r="A78" s="725" t="s">
        <v>228</v>
      </c>
      <c r="B78" s="725"/>
      <c r="C78" s="725"/>
      <c r="D78" s="725"/>
      <c r="E78" s="725"/>
      <c r="F78" s="725"/>
      <c r="G78" s="152"/>
      <c r="H78" s="152"/>
      <c r="I78" s="152"/>
      <c r="J78" s="419"/>
      <c r="K78" s="535">
        <v>43</v>
      </c>
    </row>
    <row r="79" spans="1:11" ht="23.25" customHeight="1" x14ac:dyDescent="0.25">
      <c r="A79" s="814" t="s">
        <v>459</v>
      </c>
      <c r="B79" s="814"/>
      <c r="C79" s="814"/>
      <c r="D79" s="814"/>
      <c r="E79" s="814"/>
      <c r="F79" s="814"/>
      <c r="G79" s="814"/>
      <c r="H79" s="814"/>
      <c r="I79" s="814"/>
      <c r="J79" s="814"/>
      <c r="K79" s="814"/>
    </row>
    <row r="80" spans="1:11" ht="23.25" customHeight="1" x14ac:dyDescent="0.25">
      <c r="A80" s="814" t="s">
        <v>36</v>
      </c>
      <c r="B80" s="814"/>
      <c r="C80" s="814"/>
      <c r="D80" s="814"/>
      <c r="E80" s="814"/>
      <c r="F80" s="814"/>
      <c r="G80" s="814"/>
      <c r="H80" s="814"/>
      <c r="I80" s="814"/>
      <c r="J80" s="814"/>
      <c r="K80" s="814"/>
    </row>
    <row r="81" spans="1:11" ht="23.25" customHeight="1" thickBot="1" x14ac:dyDescent="0.3">
      <c r="A81" s="795" t="s">
        <v>490</v>
      </c>
      <c r="B81" s="795"/>
      <c r="C81" s="795"/>
      <c r="D81" s="795"/>
      <c r="E81" s="795"/>
      <c r="F81" s="795"/>
      <c r="G81" s="795"/>
      <c r="H81" s="795"/>
      <c r="I81" s="795"/>
      <c r="J81" s="795"/>
      <c r="K81" s="795"/>
    </row>
    <row r="82" spans="1:11" ht="23.25" customHeight="1" thickTop="1" x14ac:dyDescent="0.25">
      <c r="A82" s="761" t="s">
        <v>201</v>
      </c>
      <c r="B82" s="761"/>
      <c r="C82" s="661"/>
      <c r="D82" s="761" t="s">
        <v>170</v>
      </c>
      <c r="E82" s="796" t="s">
        <v>272</v>
      </c>
      <c r="F82" s="796"/>
      <c r="G82" s="796"/>
      <c r="H82" s="663"/>
      <c r="I82" s="796" t="s">
        <v>113</v>
      </c>
      <c r="J82" s="796"/>
      <c r="K82" s="796"/>
    </row>
    <row r="83" spans="1:11" ht="23.25" customHeight="1" x14ac:dyDescent="0.25">
      <c r="A83" s="762"/>
      <c r="B83" s="762"/>
      <c r="C83" s="664"/>
      <c r="D83" s="762"/>
      <c r="E83" s="181" t="s">
        <v>97</v>
      </c>
      <c r="F83" s="181" t="s">
        <v>98</v>
      </c>
      <c r="G83" s="181" t="s">
        <v>114</v>
      </c>
      <c r="H83" s="175"/>
      <c r="I83" s="181" t="s">
        <v>97</v>
      </c>
      <c r="J83" s="181" t="s">
        <v>98</v>
      </c>
      <c r="K83" s="181" t="s">
        <v>114</v>
      </c>
    </row>
    <row r="84" spans="1:11" ht="23.25" customHeight="1" x14ac:dyDescent="0.25">
      <c r="A84" s="884" t="s">
        <v>120</v>
      </c>
      <c r="B84" s="884"/>
      <c r="C84" s="128" t="s">
        <v>171</v>
      </c>
      <c r="D84" s="18" t="s">
        <v>121</v>
      </c>
      <c r="E84" s="332">
        <v>1.39</v>
      </c>
      <c r="F84" s="716">
        <v>81.099999999999994</v>
      </c>
      <c r="G84" s="332">
        <v>14.81</v>
      </c>
      <c r="H84" s="332"/>
      <c r="I84" s="715">
        <v>0.3</v>
      </c>
      <c r="J84" s="334">
        <v>31.1</v>
      </c>
      <c r="K84" s="332">
        <v>5.75</v>
      </c>
    </row>
    <row r="85" spans="1:11" ht="23.25" customHeight="1" x14ac:dyDescent="0.25">
      <c r="A85" s="881" t="s">
        <v>172</v>
      </c>
      <c r="B85" s="881"/>
      <c r="C85" s="129" t="s">
        <v>173</v>
      </c>
      <c r="D85" s="18" t="s">
        <v>121</v>
      </c>
      <c r="E85" s="129">
        <v>242</v>
      </c>
      <c r="F85" s="129">
        <v>519</v>
      </c>
      <c r="G85" s="129">
        <v>348.84</v>
      </c>
      <c r="H85" s="129"/>
      <c r="I85" s="357">
        <v>232</v>
      </c>
      <c r="J85" s="331">
        <v>508</v>
      </c>
      <c r="K85" s="129">
        <v>213.91</v>
      </c>
    </row>
    <row r="86" spans="1:11" ht="23.25" customHeight="1" x14ac:dyDescent="0.25">
      <c r="A86" s="881" t="s">
        <v>123</v>
      </c>
      <c r="B86" s="881"/>
      <c r="C86" s="129" t="s">
        <v>174</v>
      </c>
      <c r="D86" s="18" t="s">
        <v>121</v>
      </c>
      <c r="E86" s="129">
        <v>102</v>
      </c>
      <c r="F86" s="129">
        <v>180</v>
      </c>
      <c r="G86" s="129">
        <v>140.09</v>
      </c>
      <c r="H86" s="129"/>
      <c r="I86" s="129">
        <v>100</v>
      </c>
      <c r="J86" s="129">
        <v>184</v>
      </c>
      <c r="K86" s="129">
        <v>89.63</v>
      </c>
    </row>
    <row r="87" spans="1:11" ht="23.25" customHeight="1" x14ac:dyDescent="0.25">
      <c r="A87" s="885" t="s">
        <v>175</v>
      </c>
      <c r="B87" s="885"/>
      <c r="C87" s="129" t="s">
        <v>176</v>
      </c>
      <c r="D87" s="18" t="s">
        <v>121</v>
      </c>
      <c r="E87" s="129">
        <v>350</v>
      </c>
      <c r="F87" s="331">
        <v>914</v>
      </c>
      <c r="G87" s="331">
        <v>596</v>
      </c>
      <c r="H87" s="331"/>
      <c r="I87" s="331">
        <v>306</v>
      </c>
      <c r="J87" s="331">
        <v>910</v>
      </c>
      <c r="K87" s="331">
        <v>362</v>
      </c>
    </row>
    <row r="88" spans="1:11" ht="23.25" customHeight="1" x14ac:dyDescent="0.25">
      <c r="A88" s="881" t="s">
        <v>177</v>
      </c>
      <c r="B88" s="881"/>
      <c r="C88" s="129" t="s">
        <v>122</v>
      </c>
      <c r="D88" s="182"/>
      <c r="E88" s="354">
        <v>7.07</v>
      </c>
      <c r="F88" s="354">
        <v>8.73</v>
      </c>
      <c r="G88" s="354">
        <v>8.01</v>
      </c>
      <c r="H88" s="354"/>
      <c r="I88" s="354">
        <v>6.85</v>
      </c>
      <c r="J88" s="354">
        <v>8.3699999999999992</v>
      </c>
      <c r="K88" s="354">
        <v>7.81</v>
      </c>
    </row>
    <row r="89" spans="1:11" ht="23.25" customHeight="1" x14ac:dyDescent="0.25">
      <c r="A89" s="881" t="s">
        <v>178</v>
      </c>
      <c r="B89" s="881"/>
      <c r="C89" s="129" t="s">
        <v>179</v>
      </c>
      <c r="D89" s="18" t="s">
        <v>121</v>
      </c>
      <c r="E89" s="357">
        <v>31</v>
      </c>
      <c r="F89" s="357">
        <v>139</v>
      </c>
      <c r="G89" s="354">
        <v>88.39</v>
      </c>
      <c r="H89" s="354"/>
      <c r="I89" s="357">
        <v>30</v>
      </c>
      <c r="J89" s="357">
        <v>163</v>
      </c>
      <c r="K89" s="354">
        <v>53.44</v>
      </c>
    </row>
    <row r="90" spans="1:11" ht="23.25" customHeight="1" x14ac:dyDescent="0.25">
      <c r="A90" s="881" t="s">
        <v>180</v>
      </c>
      <c r="B90" s="881"/>
      <c r="C90" s="129" t="s">
        <v>181</v>
      </c>
      <c r="D90" s="18" t="s">
        <v>121</v>
      </c>
      <c r="E90" s="129">
        <v>58</v>
      </c>
      <c r="F90" s="129">
        <v>135</v>
      </c>
      <c r="G90" s="129">
        <v>56.15</v>
      </c>
      <c r="H90" s="129"/>
      <c r="I90" s="129">
        <v>53</v>
      </c>
      <c r="J90" s="129">
        <v>134</v>
      </c>
      <c r="K90" s="129">
        <v>53.88</v>
      </c>
    </row>
    <row r="91" spans="1:11" ht="23.25" customHeight="1" x14ac:dyDescent="0.25">
      <c r="A91" s="881" t="s">
        <v>182</v>
      </c>
      <c r="B91" s="881"/>
      <c r="C91" s="129" t="s">
        <v>183</v>
      </c>
      <c r="D91" s="18" t="s">
        <v>121</v>
      </c>
      <c r="E91" s="129">
        <v>21</v>
      </c>
      <c r="F91" s="129">
        <v>44</v>
      </c>
      <c r="G91" s="129">
        <v>19.88</v>
      </c>
      <c r="H91" s="129"/>
      <c r="I91" s="129">
        <v>20</v>
      </c>
      <c r="J91" s="129">
        <v>43</v>
      </c>
      <c r="K91" s="129">
        <v>19.309999999999999</v>
      </c>
    </row>
    <row r="92" spans="1:11" ht="23.25" customHeight="1" x14ac:dyDescent="0.25">
      <c r="A92" s="881" t="s">
        <v>184</v>
      </c>
      <c r="B92" s="881"/>
      <c r="C92" s="130" t="s">
        <v>185</v>
      </c>
      <c r="D92" s="131" t="s">
        <v>134</v>
      </c>
      <c r="E92" s="129">
        <v>441</v>
      </c>
      <c r="F92" s="331">
        <v>1352</v>
      </c>
      <c r="G92" s="492">
        <v>895.65</v>
      </c>
      <c r="H92" s="330"/>
      <c r="I92" s="330">
        <v>507</v>
      </c>
      <c r="J92" s="330">
        <v>1330</v>
      </c>
      <c r="K92" s="670">
        <v>575.9</v>
      </c>
    </row>
    <row r="93" spans="1:11" ht="23.25" customHeight="1" x14ac:dyDescent="0.25">
      <c r="A93" s="882" t="s">
        <v>186</v>
      </c>
      <c r="B93" s="882"/>
      <c r="C93" s="129" t="s">
        <v>187</v>
      </c>
      <c r="D93" s="18" t="s">
        <v>121</v>
      </c>
      <c r="E93" s="206" t="s">
        <v>316</v>
      </c>
      <c r="F93" s="206" t="s">
        <v>316</v>
      </c>
      <c r="G93" s="206" t="s">
        <v>316</v>
      </c>
      <c r="H93" s="206"/>
      <c r="I93" s="206" t="s">
        <v>316</v>
      </c>
      <c r="J93" s="206" t="s">
        <v>316</v>
      </c>
      <c r="K93" s="206" t="s">
        <v>316</v>
      </c>
    </row>
    <row r="94" spans="1:11" ht="23.25" customHeight="1" x14ac:dyDescent="0.25">
      <c r="A94" s="882" t="s">
        <v>188</v>
      </c>
      <c r="B94" s="882"/>
      <c r="C94" s="129" t="s">
        <v>189</v>
      </c>
      <c r="D94" s="18" t="s">
        <v>121</v>
      </c>
      <c r="E94" s="206" t="s">
        <v>316</v>
      </c>
      <c r="F94" s="206" t="s">
        <v>316</v>
      </c>
      <c r="G94" s="206" t="s">
        <v>316</v>
      </c>
      <c r="H94" s="206"/>
      <c r="I94" s="206" t="s">
        <v>316</v>
      </c>
      <c r="J94" s="206" t="s">
        <v>316</v>
      </c>
      <c r="K94" s="206" t="s">
        <v>316</v>
      </c>
    </row>
    <row r="95" spans="1:11" ht="23.25" customHeight="1" thickBot="1" x14ac:dyDescent="0.3">
      <c r="A95" s="883" t="s">
        <v>190</v>
      </c>
      <c r="B95" s="883"/>
      <c r="C95" s="132" t="s">
        <v>191</v>
      </c>
      <c r="D95" s="133" t="s">
        <v>121</v>
      </c>
      <c r="E95" s="132">
        <v>97</v>
      </c>
      <c r="F95" s="132">
        <v>389</v>
      </c>
      <c r="G95" s="132">
        <v>144.58000000000001</v>
      </c>
      <c r="H95" s="132"/>
      <c r="I95" s="132">
        <v>93</v>
      </c>
      <c r="J95" s="132">
        <v>364</v>
      </c>
      <c r="K95" s="132">
        <v>134.19</v>
      </c>
    </row>
    <row r="96" spans="1:11" ht="23.25" customHeight="1" thickTop="1" x14ac:dyDescent="0.65">
      <c r="A96" s="600" t="s">
        <v>277</v>
      </c>
      <c r="B96" s="600"/>
      <c r="C96" s="600"/>
      <c r="D96" s="600"/>
      <c r="E96" s="115"/>
      <c r="F96" s="115"/>
      <c r="G96" s="115"/>
      <c r="H96" s="115"/>
      <c r="I96" s="115"/>
      <c r="J96" s="115"/>
      <c r="K96" s="117"/>
    </row>
    <row r="97" spans="1:11" ht="23.25" customHeight="1" x14ac:dyDescent="0.25">
      <c r="A97" s="814" t="s">
        <v>459</v>
      </c>
      <c r="B97" s="814"/>
      <c r="C97" s="814"/>
      <c r="D97" s="814"/>
      <c r="E97" s="814"/>
      <c r="F97" s="814"/>
      <c r="G97" s="814"/>
      <c r="H97" s="814"/>
      <c r="I97" s="814"/>
      <c r="J97" s="814"/>
      <c r="K97" s="814"/>
    </row>
    <row r="98" spans="1:11" ht="23.25" customHeight="1" x14ac:dyDescent="0.25">
      <c r="A98" s="814" t="s">
        <v>81</v>
      </c>
      <c r="B98" s="814"/>
      <c r="C98" s="814"/>
      <c r="D98" s="814"/>
      <c r="E98" s="814"/>
      <c r="F98" s="814"/>
      <c r="G98" s="814"/>
      <c r="H98" s="814"/>
      <c r="I98" s="814"/>
      <c r="J98" s="814"/>
      <c r="K98" s="814"/>
    </row>
    <row r="99" spans="1:11" ht="23.25" customHeight="1" thickBot="1" x14ac:dyDescent="0.3">
      <c r="A99" s="795" t="s">
        <v>490</v>
      </c>
      <c r="B99" s="795"/>
      <c r="C99" s="795"/>
      <c r="D99" s="795"/>
      <c r="E99" s="795"/>
      <c r="F99" s="795"/>
      <c r="G99" s="795"/>
      <c r="H99" s="795"/>
      <c r="I99" s="795"/>
      <c r="J99" s="795"/>
      <c r="K99" s="795"/>
    </row>
    <row r="100" spans="1:11" ht="23.25" customHeight="1" thickTop="1" x14ac:dyDescent="0.25">
      <c r="A100" s="761" t="s">
        <v>201</v>
      </c>
      <c r="B100" s="761"/>
      <c r="C100" s="661"/>
      <c r="D100" s="761" t="s">
        <v>170</v>
      </c>
      <c r="E100" s="796" t="s">
        <v>272</v>
      </c>
      <c r="F100" s="796"/>
      <c r="G100" s="796"/>
      <c r="H100" s="663"/>
      <c r="I100" s="796" t="s">
        <v>113</v>
      </c>
      <c r="J100" s="796"/>
      <c r="K100" s="796"/>
    </row>
    <row r="101" spans="1:11" ht="23.25" customHeight="1" x14ac:dyDescent="0.25">
      <c r="A101" s="762"/>
      <c r="B101" s="762"/>
      <c r="C101" s="664"/>
      <c r="D101" s="762"/>
      <c r="E101" s="181" t="s">
        <v>97</v>
      </c>
      <c r="F101" s="181" t="s">
        <v>98</v>
      </c>
      <c r="G101" s="181" t="s">
        <v>114</v>
      </c>
      <c r="H101" s="175"/>
      <c r="I101" s="181" t="s">
        <v>97</v>
      </c>
      <c r="J101" s="181" t="s">
        <v>98</v>
      </c>
      <c r="K101" s="181" t="s">
        <v>114</v>
      </c>
    </row>
    <row r="102" spans="1:11" ht="23.25" customHeight="1" x14ac:dyDescent="0.25">
      <c r="A102" s="884" t="s">
        <v>120</v>
      </c>
      <c r="B102" s="884"/>
      <c r="C102" s="128" t="s">
        <v>171</v>
      </c>
      <c r="D102" s="18" t="s">
        <v>121</v>
      </c>
      <c r="E102" s="337">
        <v>1.2</v>
      </c>
      <c r="F102" s="335">
        <v>110</v>
      </c>
      <c r="G102" s="336">
        <v>13.46</v>
      </c>
      <c r="H102" s="336"/>
      <c r="I102" s="337">
        <v>0.4</v>
      </c>
      <c r="J102" s="335">
        <v>50</v>
      </c>
      <c r="K102" s="336">
        <v>7.13</v>
      </c>
    </row>
    <row r="103" spans="1:11" ht="23.25" customHeight="1" x14ac:dyDescent="0.25">
      <c r="A103" s="881" t="s">
        <v>172</v>
      </c>
      <c r="B103" s="881"/>
      <c r="C103" s="129" t="s">
        <v>173</v>
      </c>
      <c r="D103" s="18" t="s">
        <v>121</v>
      </c>
      <c r="E103" s="338">
        <v>296</v>
      </c>
      <c r="F103" s="338">
        <v>473</v>
      </c>
      <c r="G103" s="339">
        <v>383.51</v>
      </c>
      <c r="H103" s="340"/>
      <c r="I103" s="338">
        <v>296</v>
      </c>
      <c r="J103" s="338">
        <v>481</v>
      </c>
      <c r="K103" s="339">
        <v>385.59</v>
      </c>
    </row>
    <row r="104" spans="1:11" ht="23.25" customHeight="1" x14ac:dyDescent="0.25">
      <c r="A104" s="881" t="s">
        <v>123</v>
      </c>
      <c r="B104" s="881"/>
      <c r="C104" s="129" t="s">
        <v>174</v>
      </c>
      <c r="D104" s="18" t="s">
        <v>121</v>
      </c>
      <c r="E104" s="338">
        <v>96</v>
      </c>
      <c r="F104" s="338">
        <v>170</v>
      </c>
      <c r="G104" s="340">
        <v>123.3</v>
      </c>
      <c r="H104" s="340"/>
      <c r="I104" s="338">
        <v>80</v>
      </c>
      <c r="J104" s="338">
        <v>170</v>
      </c>
      <c r="K104" s="339">
        <v>123.56</v>
      </c>
    </row>
    <row r="105" spans="1:11" ht="23.25" customHeight="1" x14ac:dyDescent="0.25">
      <c r="A105" s="885" t="s">
        <v>175</v>
      </c>
      <c r="B105" s="885"/>
      <c r="C105" s="129" t="s">
        <v>176</v>
      </c>
      <c r="D105" s="18" t="s">
        <v>121</v>
      </c>
      <c r="E105" s="338">
        <v>468</v>
      </c>
      <c r="F105" s="338">
        <v>720</v>
      </c>
      <c r="G105" s="338">
        <v>606</v>
      </c>
      <c r="H105" s="340"/>
      <c r="I105" s="338">
        <v>470</v>
      </c>
      <c r="J105" s="338">
        <v>1026</v>
      </c>
      <c r="K105" s="338">
        <v>614</v>
      </c>
    </row>
    <row r="106" spans="1:11" ht="23.25" customHeight="1" x14ac:dyDescent="0.25">
      <c r="A106" s="881" t="s">
        <v>177</v>
      </c>
      <c r="B106" s="881"/>
      <c r="C106" s="129" t="s">
        <v>122</v>
      </c>
      <c r="D106" s="182"/>
      <c r="E106" s="340">
        <v>6.6</v>
      </c>
      <c r="F106" s="340">
        <v>8.8000000000000007</v>
      </c>
      <c r="G106" s="340">
        <v>7.7</v>
      </c>
      <c r="H106" s="339"/>
      <c r="I106" s="340">
        <v>6.9</v>
      </c>
      <c r="J106" s="340">
        <v>8.8000000000000007</v>
      </c>
      <c r="K106" s="339">
        <v>7.65</v>
      </c>
    </row>
    <row r="107" spans="1:11" ht="23.25" customHeight="1" x14ac:dyDescent="0.25">
      <c r="A107" s="881" t="s">
        <v>178</v>
      </c>
      <c r="B107" s="881"/>
      <c r="C107" s="129" t="s">
        <v>179</v>
      </c>
      <c r="D107" s="18" t="s">
        <v>121</v>
      </c>
      <c r="E107" s="338">
        <v>69</v>
      </c>
      <c r="F107" s="338">
        <v>126</v>
      </c>
      <c r="G107" s="339">
        <v>85.26</v>
      </c>
      <c r="H107" s="340"/>
      <c r="I107" s="338">
        <v>70</v>
      </c>
      <c r="J107" s="338">
        <v>182</v>
      </c>
      <c r="K107" s="339">
        <v>87.87</v>
      </c>
    </row>
    <row r="108" spans="1:11" ht="23.25" customHeight="1" x14ac:dyDescent="0.25">
      <c r="A108" s="881" t="s">
        <v>180</v>
      </c>
      <c r="B108" s="881"/>
      <c r="C108" s="129" t="s">
        <v>181</v>
      </c>
      <c r="D108" s="18" t="s">
        <v>121</v>
      </c>
      <c r="E108" s="341">
        <v>67</v>
      </c>
      <c r="F108" s="341">
        <v>144</v>
      </c>
      <c r="G108" s="669">
        <v>97.29</v>
      </c>
      <c r="H108" s="342"/>
      <c r="I108" s="338">
        <v>67</v>
      </c>
      <c r="J108" s="338">
        <v>144</v>
      </c>
      <c r="K108" s="339">
        <v>97.44</v>
      </c>
    </row>
    <row r="109" spans="1:11" ht="23.25" customHeight="1" x14ac:dyDescent="0.25">
      <c r="A109" s="881" t="s">
        <v>182</v>
      </c>
      <c r="B109" s="881"/>
      <c r="C109" s="129" t="s">
        <v>183</v>
      </c>
      <c r="D109" s="18" t="s">
        <v>121</v>
      </c>
      <c r="E109" s="338">
        <v>23</v>
      </c>
      <c r="F109" s="338">
        <v>46</v>
      </c>
      <c r="G109" s="339">
        <v>34.340000000000003</v>
      </c>
      <c r="H109" s="340"/>
      <c r="I109" s="338">
        <v>23</v>
      </c>
      <c r="J109" s="338">
        <v>48</v>
      </c>
      <c r="K109" s="339">
        <v>34.68</v>
      </c>
    </row>
    <row r="110" spans="1:11" ht="23.25" customHeight="1" x14ac:dyDescent="0.25">
      <c r="A110" s="881" t="s">
        <v>184</v>
      </c>
      <c r="B110" s="881"/>
      <c r="C110" s="130" t="s">
        <v>185</v>
      </c>
      <c r="D110" s="131" t="s">
        <v>134</v>
      </c>
      <c r="E110" s="338">
        <v>798</v>
      </c>
      <c r="F110" s="338">
        <v>1092</v>
      </c>
      <c r="G110" s="339">
        <v>964.09</v>
      </c>
      <c r="H110" s="343"/>
      <c r="I110" s="344">
        <v>802</v>
      </c>
      <c r="J110" s="344">
        <v>1397</v>
      </c>
      <c r="K110" s="345">
        <v>971.05</v>
      </c>
    </row>
    <row r="111" spans="1:11" ht="23.25" customHeight="1" x14ac:dyDescent="0.25">
      <c r="A111" s="882" t="s">
        <v>186</v>
      </c>
      <c r="B111" s="882"/>
      <c r="C111" s="129" t="s">
        <v>187</v>
      </c>
      <c r="D111" s="18" t="s">
        <v>121</v>
      </c>
      <c r="E111" s="338">
        <v>54</v>
      </c>
      <c r="F111" s="338">
        <v>95</v>
      </c>
      <c r="G111" s="339">
        <v>70.540000000000006</v>
      </c>
      <c r="H111" s="343"/>
      <c r="I111" s="344">
        <v>56</v>
      </c>
      <c r="J111" s="344">
        <v>119</v>
      </c>
      <c r="K111" s="345">
        <v>72.13</v>
      </c>
    </row>
    <row r="112" spans="1:11" ht="23.25" customHeight="1" x14ac:dyDescent="0.25">
      <c r="A112" s="882" t="s">
        <v>188</v>
      </c>
      <c r="B112" s="882"/>
      <c r="C112" s="129" t="s">
        <v>189</v>
      </c>
      <c r="D112" s="18" t="s">
        <v>121</v>
      </c>
      <c r="E112" s="340">
        <v>2.2999999999999998</v>
      </c>
      <c r="F112" s="340">
        <v>4.8</v>
      </c>
      <c r="G112" s="339">
        <v>3.32</v>
      </c>
      <c r="H112" s="343"/>
      <c r="I112" s="344">
        <v>2</v>
      </c>
      <c r="J112" s="343">
        <v>4.8</v>
      </c>
      <c r="K112" s="345">
        <v>3.38</v>
      </c>
    </row>
    <row r="113" spans="1:11" ht="23.25" customHeight="1" thickBot="1" x14ac:dyDescent="0.3">
      <c r="A113" s="666" t="s">
        <v>190</v>
      </c>
      <c r="B113" s="666"/>
      <c r="C113" s="132" t="s">
        <v>191</v>
      </c>
      <c r="D113" s="133" t="s">
        <v>121</v>
      </c>
      <c r="E113" s="346">
        <v>165</v>
      </c>
      <c r="F113" s="346">
        <v>354</v>
      </c>
      <c r="G113" s="679">
        <v>255.32</v>
      </c>
      <c r="H113" s="347"/>
      <c r="I113" s="346">
        <v>163</v>
      </c>
      <c r="J113" s="346">
        <v>359</v>
      </c>
      <c r="K113" s="679">
        <v>255.16</v>
      </c>
    </row>
    <row r="114" spans="1:11" ht="23.25" customHeight="1" thickTop="1" x14ac:dyDescent="0.25">
      <c r="A114" s="829" t="s">
        <v>324</v>
      </c>
      <c r="B114" s="829"/>
      <c r="C114" s="829"/>
      <c r="D114" s="829"/>
      <c r="E114" s="829"/>
      <c r="F114" s="829"/>
      <c r="G114" s="829"/>
      <c r="H114" s="829"/>
      <c r="I114" s="829"/>
      <c r="J114" s="829"/>
      <c r="K114" s="150" t="s">
        <v>91</v>
      </c>
    </row>
    <row r="115" spans="1:11" ht="23.25" customHeight="1" x14ac:dyDescent="0.25">
      <c r="A115" s="729"/>
      <c r="B115" s="729"/>
      <c r="C115" s="729"/>
      <c r="D115" s="729"/>
      <c r="E115" s="729"/>
      <c r="F115" s="729"/>
      <c r="G115" s="729"/>
      <c r="H115" s="729"/>
      <c r="I115" s="729"/>
      <c r="J115" s="729"/>
      <c r="K115" s="150"/>
    </row>
    <row r="116" spans="1:11" ht="23.25" customHeight="1" x14ac:dyDescent="0.25">
      <c r="J116" s="665"/>
    </row>
    <row r="117" spans="1:11" ht="23.25" customHeight="1" x14ac:dyDescent="0.25">
      <c r="A117" s="660" t="s">
        <v>228</v>
      </c>
      <c r="B117" s="660"/>
      <c r="C117" s="660"/>
      <c r="D117" s="660"/>
      <c r="E117" s="660"/>
      <c r="F117" s="660"/>
      <c r="G117" s="152"/>
      <c r="H117" s="152"/>
      <c r="I117" s="152"/>
      <c r="J117" s="152"/>
      <c r="K117" s="535">
        <v>44</v>
      </c>
    </row>
    <row r="118" spans="1:11" ht="23.25" customHeight="1" x14ac:dyDescent="0.25">
      <c r="A118" s="814" t="s">
        <v>459</v>
      </c>
      <c r="B118" s="814"/>
      <c r="C118" s="814"/>
      <c r="D118" s="814"/>
      <c r="E118" s="814"/>
      <c r="F118" s="814"/>
      <c r="G118" s="814"/>
      <c r="H118" s="814"/>
      <c r="I118" s="814"/>
      <c r="J118" s="814"/>
      <c r="K118" s="814"/>
    </row>
    <row r="119" spans="1:11" ht="23.25" customHeight="1" x14ac:dyDescent="0.25">
      <c r="A119" s="814" t="s">
        <v>73</v>
      </c>
      <c r="B119" s="814"/>
      <c r="C119" s="814"/>
      <c r="D119" s="814"/>
      <c r="E119" s="814"/>
      <c r="F119" s="814"/>
      <c r="G119" s="814"/>
      <c r="H119" s="814"/>
      <c r="I119" s="814"/>
      <c r="J119" s="814"/>
      <c r="K119" s="814"/>
    </row>
    <row r="120" spans="1:11" ht="23.25" customHeight="1" thickBot="1" x14ac:dyDescent="0.3">
      <c r="A120" s="795" t="s">
        <v>490</v>
      </c>
      <c r="B120" s="795"/>
      <c r="C120" s="795"/>
      <c r="D120" s="795"/>
      <c r="E120" s="795"/>
      <c r="F120" s="795"/>
      <c r="G120" s="795"/>
      <c r="H120" s="795"/>
      <c r="I120" s="795"/>
      <c r="J120" s="795"/>
      <c r="K120" s="795"/>
    </row>
    <row r="121" spans="1:11" ht="23.25" customHeight="1" thickTop="1" x14ac:dyDescent="0.25">
      <c r="A121" s="761" t="s">
        <v>201</v>
      </c>
      <c r="B121" s="761"/>
      <c r="C121" s="661"/>
      <c r="D121" s="761" t="s">
        <v>170</v>
      </c>
      <c r="E121" s="796" t="s">
        <v>272</v>
      </c>
      <c r="F121" s="796"/>
      <c r="G121" s="796"/>
      <c r="H121" s="663"/>
      <c r="I121" s="796" t="s">
        <v>113</v>
      </c>
      <c r="J121" s="796"/>
      <c r="K121" s="796"/>
    </row>
    <row r="122" spans="1:11" ht="23.25" customHeight="1" x14ac:dyDescent="0.25">
      <c r="A122" s="762"/>
      <c r="B122" s="762"/>
      <c r="C122" s="664"/>
      <c r="D122" s="762"/>
      <c r="E122" s="181" t="s">
        <v>97</v>
      </c>
      <c r="F122" s="181" t="s">
        <v>98</v>
      </c>
      <c r="G122" s="181" t="s">
        <v>114</v>
      </c>
      <c r="H122" s="175"/>
      <c r="I122" s="181" t="s">
        <v>97</v>
      </c>
      <c r="J122" s="181" t="s">
        <v>98</v>
      </c>
      <c r="K122" s="181" t="s">
        <v>114</v>
      </c>
    </row>
    <row r="123" spans="1:11" ht="23.25" customHeight="1" x14ac:dyDescent="0.25">
      <c r="A123" s="884" t="s">
        <v>120</v>
      </c>
      <c r="B123" s="884"/>
      <c r="C123" s="128" t="s">
        <v>171</v>
      </c>
      <c r="D123" s="18" t="s">
        <v>121</v>
      </c>
      <c r="E123" s="293">
        <v>2</v>
      </c>
      <c r="F123" s="293">
        <v>95</v>
      </c>
      <c r="G123" s="143">
        <v>15.97</v>
      </c>
      <c r="H123" s="143"/>
      <c r="I123" s="292">
        <v>0.1</v>
      </c>
      <c r="J123" s="293">
        <v>22</v>
      </c>
      <c r="K123" s="143">
        <v>3.36</v>
      </c>
    </row>
    <row r="124" spans="1:11" ht="23.25" customHeight="1" x14ac:dyDescent="0.25">
      <c r="A124" s="881" t="s">
        <v>172</v>
      </c>
      <c r="B124" s="881"/>
      <c r="C124" s="129" t="s">
        <v>173</v>
      </c>
      <c r="D124" s="18" t="s">
        <v>121</v>
      </c>
      <c r="E124" s="63">
        <v>280</v>
      </c>
      <c r="F124" s="63">
        <v>473</v>
      </c>
      <c r="G124" s="63">
        <v>360.43</v>
      </c>
      <c r="H124" s="63"/>
      <c r="I124" s="63">
        <v>272</v>
      </c>
      <c r="J124" s="63">
        <v>480</v>
      </c>
      <c r="K124" s="63">
        <v>356.59</v>
      </c>
    </row>
    <row r="125" spans="1:11" ht="23.25" customHeight="1" x14ac:dyDescent="0.25">
      <c r="A125" s="881" t="s">
        <v>123</v>
      </c>
      <c r="B125" s="881"/>
      <c r="C125" s="129" t="s">
        <v>174</v>
      </c>
      <c r="D125" s="18" t="s">
        <v>121</v>
      </c>
      <c r="E125" s="63">
        <v>90</v>
      </c>
      <c r="F125" s="63">
        <v>152</v>
      </c>
      <c r="G125" s="63">
        <v>118.21</v>
      </c>
      <c r="H125" s="63"/>
      <c r="I125" s="63">
        <v>86</v>
      </c>
      <c r="J125" s="63">
        <v>176</v>
      </c>
      <c r="K125" s="63">
        <v>115.1</v>
      </c>
    </row>
    <row r="126" spans="1:11" ht="23.25" customHeight="1" x14ac:dyDescent="0.25">
      <c r="A126" s="885" t="s">
        <v>175</v>
      </c>
      <c r="B126" s="885"/>
      <c r="C126" s="129" t="s">
        <v>176</v>
      </c>
      <c r="D126" s="18" t="s">
        <v>121</v>
      </c>
      <c r="E126" s="129">
        <v>452</v>
      </c>
      <c r="F126" s="331">
        <v>716</v>
      </c>
      <c r="G126" s="331">
        <v>542</v>
      </c>
      <c r="H126" s="331"/>
      <c r="I126" s="331">
        <v>450</v>
      </c>
      <c r="J126" s="331">
        <v>728</v>
      </c>
      <c r="K126" s="331">
        <v>542</v>
      </c>
    </row>
    <row r="127" spans="1:11" ht="23.25" customHeight="1" x14ac:dyDescent="0.25">
      <c r="A127" s="881" t="s">
        <v>177</v>
      </c>
      <c r="B127" s="881"/>
      <c r="C127" s="129" t="s">
        <v>122</v>
      </c>
      <c r="D127" s="182"/>
      <c r="E127" s="63">
        <v>7.16</v>
      </c>
      <c r="F127" s="225">
        <v>8.1999999999999993</v>
      </c>
      <c r="G127" s="144">
        <v>7.61</v>
      </c>
      <c r="H127" s="144"/>
      <c r="I127" s="144">
        <v>6.55</v>
      </c>
      <c r="J127" s="225">
        <v>8.1</v>
      </c>
      <c r="K127" s="144">
        <v>7.54</v>
      </c>
    </row>
    <row r="128" spans="1:11" ht="23.25" customHeight="1" x14ac:dyDescent="0.25">
      <c r="A128" s="881" t="s">
        <v>178</v>
      </c>
      <c r="B128" s="881"/>
      <c r="C128" s="129" t="s">
        <v>179</v>
      </c>
      <c r="D128" s="18" t="s">
        <v>121</v>
      </c>
      <c r="E128" s="63">
        <v>74</v>
      </c>
      <c r="F128" s="63">
        <v>140</v>
      </c>
      <c r="G128" s="63">
        <v>89.2</v>
      </c>
      <c r="H128" s="63"/>
      <c r="I128" s="63">
        <v>74</v>
      </c>
      <c r="J128" s="63">
        <v>180</v>
      </c>
      <c r="K128" s="63">
        <v>92</v>
      </c>
    </row>
    <row r="129" spans="1:11" ht="23.25" customHeight="1" x14ac:dyDescent="0.25">
      <c r="A129" s="881" t="s">
        <v>180</v>
      </c>
      <c r="B129" s="881"/>
      <c r="C129" s="129" t="s">
        <v>181</v>
      </c>
      <c r="D129" s="18" t="s">
        <v>121</v>
      </c>
      <c r="E129" s="63">
        <v>66</v>
      </c>
      <c r="F129" s="63">
        <v>131</v>
      </c>
      <c r="G129" s="63">
        <v>97.81</v>
      </c>
      <c r="H129" s="63"/>
      <c r="I129" s="63">
        <v>65</v>
      </c>
      <c r="J129" s="63">
        <v>130</v>
      </c>
      <c r="K129" s="63">
        <v>96.5</v>
      </c>
    </row>
    <row r="130" spans="1:11" ht="23.25" customHeight="1" x14ac:dyDescent="0.25">
      <c r="A130" s="881" t="s">
        <v>182</v>
      </c>
      <c r="B130" s="881"/>
      <c r="C130" s="129" t="s">
        <v>183</v>
      </c>
      <c r="D130" s="18" t="s">
        <v>121</v>
      </c>
      <c r="E130" s="63">
        <v>19</v>
      </c>
      <c r="F130" s="63">
        <v>46</v>
      </c>
      <c r="G130" s="63">
        <v>28.24</v>
      </c>
      <c r="H130" s="63"/>
      <c r="I130" s="63">
        <v>20</v>
      </c>
      <c r="J130" s="63">
        <v>48</v>
      </c>
      <c r="K130" s="63">
        <v>28.06</v>
      </c>
    </row>
    <row r="131" spans="1:11" ht="23.25" customHeight="1" x14ac:dyDescent="0.25">
      <c r="A131" s="881" t="s">
        <v>184</v>
      </c>
      <c r="B131" s="881"/>
      <c r="C131" s="130" t="s">
        <v>185</v>
      </c>
      <c r="D131" s="131" t="s">
        <v>134</v>
      </c>
      <c r="E131" s="330">
        <v>730</v>
      </c>
      <c r="F131" s="330">
        <v>1136</v>
      </c>
      <c r="G131" s="670">
        <v>858.4</v>
      </c>
      <c r="H131" s="330"/>
      <c r="I131" s="330">
        <v>720</v>
      </c>
      <c r="J131" s="330">
        <v>1155</v>
      </c>
      <c r="K131" s="670">
        <v>859.2</v>
      </c>
    </row>
    <row r="132" spans="1:11" ht="23.25" customHeight="1" x14ac:dyDescent="0.25">
      <c r="A132" s="882" t="s">
        <v>186</v>
      </c>
      <c r="B132" s="882"/>
      <c r="C132" s="129" t="s">
        <v>187</v>
      </c>
      <c r="D132" s="18" t="s">
        <v>121</v>
      </c>
      <c r="E132" s="63">
        <v>56</v>
      </c>
      <c r="F132" s="63">
        <v>132</v>
      </c>
      <c r="G132" s="63">
        <v>68.61</v>
      </c>
      <c r="H132" s="63"/>
      <c r="I132" s="63">
        <v>54</v>
      </c>
      <c r="J132" s="63">
        <v>128</v>
      </c>
      <c r="K132" s="63">
        <v>67.33</v>
      </c>
    </row>
    <row r="133" spans="1:11" ht="23.25" customHeight="1" x14ac:dyDescent="0.25">
      <c r="A133" s="882" t="s">
        <v>188</v>
      </c>
      <c r="B133" s="882"/>
      <c r="C133" s="129" t="s">
        <v>189</v>
      </c>
      <c r="D133" s="18" t="s">
        <v>121</v>
      </c>
      <c r="E133" s="63">
        <v>3.1</v>
      </c>
      <c r="F133" s="63">
        <v>4.8</v>
      </c>
      <c r="G133" s="63">
        <v>3.64</v>
      </c>
      <c r="H133" s="63"/>
      <c r="I133" s="63">
        <v>3.1</v>
      </c>
      <c r="J133" s="63">
        <v>4.7</v>
      </c>
      <c r="K133" s="63">
        <v>3.52</v>
      </c>
    </row>
    <row r="134" spans="1:11" ht="23.25" customHeight="1" thickBot="1" x14ac:dyDescent="0.3">
      <c r="A134" s="883" t="s">
        <v>190</v>
      </c>
      <c r="B134" s="883"/>
      <c r="C134" s="132" t="s">
        <v>191</v>
      </c>
      <c r="D134" s="133" t="s">
        <v>121</v>
      </c>
      <c r="E134" s="64">
        <v>180</v>
      </c>
      <c r="F134" s="64">
        <v>364</v>
      </c>
      <c r="G134" s="64">
        <v>256.33</v>
      </c>
      <c r="H134" s="64"/>
      <c r="I134" s="64">
        <v>181</v>
      </c>
      <c r="J134" s="64">
        <v>368</v>
      </c>
      <c r="K134" s="64">
        <v>258.07</v>
      </c>
    </row>
    <row r="135" spans="1:11" ht="23.25" customHeight="1" thickTop="1" x14ac:dyDescent="0.65">
      <c r="A135" s="116"/>
      <c r="B135" s="116"/>
      <c r="C135" s="116"/>
      <c r="D135" s="116"/>
      <c r="E135" s="115"/>
      <c r="F135" s="115"/>
      <c r="G135" s="115"/>
      <c r="H135" s="115"/>
      <c r="I135" s="115"/>
      <c r="J135" s="115"/>
      <c r="K135" s="117"/>
    </row>
    <row r="136" spans="1:11" ht="23.25" customHeight="1" x14ac:dyDescent="0.25">
      <c r="A136" s="814" t="s">
        <v>459</v>
      </c>
      <c r="B136" s="814"/>
      <c r="C136" s="814"/>
      <c r="D136" s="814"/>
      <c r="E136" s="814"/>
      <c r="F136" s="814"/>
      <c r="G136" s="814"/>
      <c r="H136" s="814"/>
      <c r="I136" s="814"/>
      <c r="J136" s="814"/>
      <c r="K136" s="814"/>
    </row>
    <row r="137" spans="1:11" ht="23.25" customHeight="1" x14ac:dyDescent="0.25">
      <c r="A137" s="814" t="s">
        <v>80</v>
      </c>
      <c r="B137" s="814"/>
      <c r="C137" s="814"/>
      <c r="D137" s="814"/>
      <c r="E137" s="814"/>
      <c r="F137" s="814"/>
      <c r="G137" s="814"/>
      <c r="H137" s="814"/>
      <c r="I137" s="814"/>
      <c r="J137" s="814"/>
      <c r="K137" s="814"/>
    </row>
    <row r="138" spans="1:11" ht="23.25" customHeight="1" thickBot="1" x14ac:dyDescent="0.3">
      <c r="A138" s="795" t="s">
        <v>490</v>
      </c>
      <c r="B138" s="795"/>
      <c r="C138" s="795"/>
      <c r="D138" s="795"/>
      <c r="E138" s="795"/>
      <c r="F138" s="795"/>
      <c r="G138" s="795"/>
      <c r="H138" s="795"/>
      <c r="I138" s="795"/>
      <c r="J138" s="795"/>
      <c r="K138" s="795"/>
    </row>
    <row r="139" spans="1:11" ht="23.25" customHeight="1" thickTop="1" x14ac:dyDescent="0.25">
      <c r="A139" s="761" t="s">
        <v>201</v>
      </c>
      <c r="B139" s="761"/>
      <c r="C139" s="661"/>
      <c r="D139" s="761" t="s">
        <v>170</v>
      </c>
      <c r="E139" s="796" t="s">
        <v>272</v>
      </c>
      <c r="F139" s="796"/>
      <c r="G139" s="796"/>
      <c r="H139" s="663"/>
      <c r="I139" s="796" t="s">
        <v>113</v>
      </c>
      <c r="J139" s="796"/>
      <c r="K139" s="796"/>
    </row>
    <row r="140" spans="1:11" ht="23.25" customHeight="1" x14ac:dyDescent="0.25">
      <c r="A140" s="762"/>
      <c r="B140" s="762"/>
      <c r="C140" s="664"/>
      <c r="D140" s="762"/>
      <c r="E140" s="181" t="s">
        <v>97</v>
      </c>
      <c r="F140" s="181" t="s">
        <v>98</v>
      </c>
      <c r="G140" s="181" t="s">
        <v>114</v>
      </c>
      <c r="H140" s="175"/>
      <c r="I140" s="181" t="s">
        <v>97</v>
      </c>
      <c r="J140" s="181" t="s">
        <v>98</v>
      </c>
      <c r="K140" s="181" t="s">
        <v>114</v>
      </c>
    </row>
    <row r="141" spans="1:11" ht="23.25" customHeight="1" x14ac:dyDescent="0.25">
      <c r="A141" s="884" t="s">
        <v>120</v>
      </c>
      <c r="B141" s="884"/>
      <c r="C141" s="128" t="s">
        <v>171</v>
      </c>
      <c r="D141" s="18" t="s">
        <v>121</v>
      </c>
      <c r="E141" s="673" t="s">
        <v>316</v>
      </c>
      <c r="F141" s="673" t="s">
        <v>316</v>
      </c>
      <c r="G141" s="673" t="s">
        <v>316</v>
      </c>
      <c r="H141" s="195"/>
      <c r="I141" s="674" t="s">
        <v>316</v>
      </c>
      <c r="J141" s="674" t="s">
        <v>316</v>
      </c>
      <c r="K141" s="674" t="s">
        <v>316</v>
      </c>
    </row>
    <row r="142" spans="1:11" ht="23.25" customHeight="1" x14ac:dyDescent="0.25">
      <c r="A142" s="881" t="s">
        <v>172</v>
      </c>
      <c r="B142" s="881"/>
      <c r="C142" s="129" t="s">
        <v>173</v>
      </c>
      <c r="D142" s="18" t="s">
        <v>121</v>
      </c>
      <c r="E142" s="675" t="s">
        <v>316</v>
      </c>
      <c r="F142" s="675" t="s">
        <v>316</v>
      </c>
      <c r="G142" s="675" t="s">
        <v>316</v>
      </c>
      <c r="H142" s="198"/>
      <c r="I142" s="675" t="s">
        <v>316</v>
      </c>
      <c r="J142" s="675" t="s">
        <v>316</v>
      </c>
      <c r="K142" s="675" t="s">
        <v>316</v>
      </c>
    </row>
    <row r="143" spans="1:11" ht="23.25" customHeight="1" x14ac:dyDescent="0.25">
      <c r="A143" s="881" t="s">
        <v>123</v>
      </c>
      <c r="B143" s="881"/>
      <c r="C143" s="129" t="s">
        <v>174</v>
      </c>
      <c r="D143" s="18" t="s">
        <v>121</v>
      </c>
      <c r="E143" s="675" t="s">
        <v>316</v>
      </c>
      <c r="F143" s="675" t="s">
        <v>316</v>
      </c>
      <c r="G143" s="675" t="s">
        <v>316</v>
      </c>
      <c r="H143" s="198"/>
      <c r="I143" s="675" t="s">
        <v>316</v>
      </c>
      <c r="J143" s="675" t="s">
        <v>316</v>
      </c>
      <c r="K143" s="675" t="s">
        <v>316</v>
      </c>
    </row>
    <row r="144" spans="1:11" ht="23.25" customHeight="1" x14ac:dyDescent="0.25">
      <c r="A144" s="885" t="s">
        <v>175</v>
      </c>
      <c r="B144" s="885"/>
      <c r="C144" s="129" t="s">
        <v>176</v>
      </c>
      <c r="D144" s="18" t="s">
        <v>121</v>
      </c>
      <c r="E144" s="675" t="s">
        <v>316</v>
      </c>
      <c r="F144" s="675" t="s">
        <v>316</v>
      </c>
      <c r="G144" s="675" t="s">
        <v>316</v>
      </c>
      <c r="H144" s="198"/>
      <c r="I144" s="675" t="s">
        <v>316</v>
      </c>
      <c r="J144" s="675" t="s">
        <v>316</v>
      </c>
      <c r="K144" s="675" t="s">
        <v>316</v>
      </c>
    </row>
    <row r="145" spans="1:11" ht="23.25" customHeight="1" x14ac:dyDescent="0.25">
      <c r="A145" s="881" t="s">
        <v>177</v>
      </c>
      <c r="B145" s="881"/>
      <c r="C145" s="129" t="s">
        <v>122</v>
      </c>
      <c r="D145" s="182"/>
      <c r="E145" s="675" t="s">
        <v>316</v>
      </c>
      <c r="F145" s="675" t="s">
        <v>316</v>
      </c>
      <c r="G145" s="675" t="s">
        <v>316</v>
      </c>
      <c r="H145" s="199"/>
      <c r="I145" s="675" t="s">
        <v>316</v>
      </c>
      <c r="J145" s="675" t="s">
        <v>316</v>
      </c>
      <c r="K145" s="675" t="s">
        <v>316</v>
      </c>
    </row>
    <row r="146" spans="1:11" ht="23.25" customHeight="1" x14ac:dyDescent="0.25">
      <c r="A146" s="881" t="s">
        <v>178</v>
      </c>
      <c r="B146" s="881"/>
      <c r="C146" s="129" t="s">
        <v>179</v>
      </c>
      <c r="D146" s="18" t="s">
        <v>121</v>
      </c>
      <c r="E146" s="675" t="s">
        <v>316</v>
      </c>
      <c r="F146" s="675" t="s">
        <v>316</v>
      </c>
      <c r="G146" s="675" t="s">
        <v>316</v>
      </c>
      <c r="H146" s="198"/>
      <c r="I146" s="675" t="s">
        <v>316</v>
      </c>
      <c r="J146" s="675" t="s">
        <v>316</v>
      </c>
      <c r="K146" s="675" t="s">
        <v>316</v>
      </c>
    </row>
    <row r="147" spans="1:11" ht="23.25" customHeight="1" x14ac:dyDescent="0.25">
      <c r="A147" s="881" t="s">
        <v>180</v>
      </c>
      <c r="B147" s="881"/>
      <c r="C147" s="129" t="s">
        <v>181</v>
      </c>
      <c r="D147" s="18" t="s">
        <v>121</v>
      </c>
      <c r="E147" s="675" t="s">
        <v>316</v>
      </c>
      <c r="F147" s="675" t="s">
        <v>316</v>
      </c>
      <c r="G147" s="675" t="s">
        <v>316</v>
      </c>
      <c r="H147" s="201"/>
      <c r="I147" s="675" t="s">
        <v>316</v>
      </c>
      <c r="J147" s="675" t="s">
        <v>316</v>
      </c>
      <c r="K147" s="675" t="s">
        <v>316</v>
      </c>
    </row>
    <row r="148" spans="1:11" ht="23.25" customHeight="1" x14ac:dyDescent="0.25">
      <c r="A148" s="881" t="s">
        <v>182</v>
      </c>
      <c r="B148" s="881"/>
      <c r="C148" s="129" t="s">
        <v>183</v>
      </c>
      <c r="D148" s="18" t="s">
        <v>121</v>
      </c>
      <c r="E148" s="675" t="s">
        <v>316</v>
      </c>
      <c r="F148" s="675" t="s">
        <v>316</v>
      </c>
      <c r="G148" s="675" t="s">
        <v>316</v>
      </c>
      <c r="H148" s="198"/>
      <c r="I148" s="675" t="s">
        <v>316</v>
      </c>
      <c r="J148" s="675" t="s">
        <v>316</v>
      </c>
      <c r="K148" s="675" t="s">
        <v>316</v>
      </c>
    </row>
    <row r="149" spans="1:11" ht="23.25" customHeight="1" x14ac:dyDescent="0.25">
      <c r="A149" s="881" t="s">
        <v>184</v>
      </c>
      <c r="B149" s="881"/>
      <c r="C149" s="130" t="s">
        <v>185</v>
      </c>
      <c r="D149" s="131" t="s">
        <v>134</v>
      </c>
      <c r="E149" s="675" t="s">
        <v>316</v>
      </c>
      <c r="F149" s="675" t="s">
        <v>316</v>
      </c>
      <c r="G149" s="675" t="s">
        <v>316</v>
      </c>
      <c r="H149" s="202"/>
      <c r="I149" s="675" t="s">
        <v>316</v>
      </c>
      <c r="J149" s="675" t="s">
        <v>316</v>
      </c>
      <c r="K149" s="675" t="s">
        <v>316</v>
      </c>
    </row>
    <row r="150" spans="1:11" ht="23.25" customHeight="1" x14ac:dyDescent="0.25">
      <c r="A150" s="882" t="s">
        <v>186</v>
      </c>
      <c r="B150" s="882"/>
      <c r="C150" s="129" t="s">
        <v>187</v>
      </c>
      <c r="D150" s="18" t="s">
        <v>121</v>
      </c>
      <c r="E150" s="675" t="s">
        <v>316</v>
      </c>
      <c r="F150" s="675" t="s">
        <v>316</v>
      </c>
      <c r="G150" s="675" t="s">
        <v>316</v>
      </c>
      <c r="H150" s="202"/>
      <c r="I150" s="675" t="s">
        <v>316</v>
      </c>
      <c r="J150" s="675" t="s">
        <v>316</v>
      </c>
      <c r="K150" s="675" t="s">
        <v>316</v>
      </c>
    </row>
    <row r="151" spans="1:11" ht="23.25" customHeight="1" x14ac:dyDescent="0.25">
      <c r="A151" s="882" t="s">
        <v>188</v>
      </c>
      <c r="B151" s="882"/>
      <c r="C151" s="129" t="s">
        <v>189</v>
      </c>
      <c r="D151" s="18" t="s">
        <v>121</v>
      </c>
      <c r="E151" s="675" t="s">
        <v>316</v>
      </c>
      <c r="F151" s="675" t="s">
        <v>316</v>
      </c>
      <c r="G151" s="675" t="s">
        <v>316</v>
      </c>
      <c r="H151" s="202"/>
      <c r="I151" s="675" t="s">
        <v>316</v>
      </c>
      <c r="J151" s="675" t="s">
        <v>316</v>
      </c>
      <c r="K151" s="675" t="s">
        <v>316</v>
      </c>
    </row>
    <row r="152" spans="1:11" ht="23.25" customHeight="1" thickBot="1" x14ac:dyDescent="0.3">
      <c r="A152" s="886" t="s">
        <v>190</v>
      </c>
      <c r="B152" s="886"/>
      <c r="C152" s="130" t="s">
        <v>191</v>
      </c>
      <c r="D152" s="131" t="s">
        <v>121</v>
      </c>
      <c r="E152" s="717" t="s">
        <v>316</v>
      </c>
      <c r="F152" s="717" t="s">
        <v>316</v>
      </c>
      <c r="G152" s="675" t="s">
        <v>316</v>
      </c>
      <c r="H152" s="205"/>
      <c r="I152" s="675" t="s">
        <v>316</v>
      </c>
      <c r="J152" s="680" t="s">
        <v>316</v>
      </c>
      <c r="K152" s="680" t="s">
        <v>316</v>
      </c>
    </row>
    <row r="153" spans="1:11" ht="23.25" customHeight="1" thickTop="1" x14ac:dyDescent="0.25">
      <c r="A153" s="600" t="s">
        <v>277</v>
      </c>
      <c r="B153" s="600"/>
      <c r="C153" s="719"/>
      <c r="D153" s="719"/>
      <c r="E153" s="719"/>
      <c r="F153" s="719"/>
      <c r="G153" s="609"/>
      <c r="H153" s="609"/>
      <c r="I153" s="609"/>
      <c r="J153" s="98"/>
      <c r="K153" s="150" t="s">
        <v>91</v>
      </c>
    </row>
    <row r="154" spans="1:11" ht="23.25" customHeight="1" x14ac:dyDescent="0.25">
      <c r="A154" s="718" t="s">
        <v>324</v>
      </c>
      <c r="B154" s="718"/>
      <c r="C154" s="718"/>
      <c r="D154" s="718"/>
      <c r="E154" s="718"/>
      <c r="F154" s="718"/>
      <c r="G154" s="665"/>
      <c r="H154" s="665"/>
      <c r="I154" s="665"/>
      <c r="J154" s="665"/>
    </row>
    <row r="155" spans="1:11" ht="23.25" customHeight="1" x14ac:dyDescent="0.25">
      <c r="A155" s="718"/>
      <c r="B155" s="718"/>
      <c r="C155" s="718"/>
      <c r="D155" s="718"/>
      <c r="E155" s="718"/>
      <c r="F155" s="718"/>
      <c r="G155" s="729"/>
      <c r="H155" s="729"/>
      <c r="I155" s="729"/>
      <c r="J155" s="729"/>
    </row>
    <row r="156" spans="1:11" ht="23.25" customHeight="1" x14ac:dyDescent="0.25">
      <c r="A156" s="660" t="s">
        <v>228</v>
      </c>
      <c r="B156" s="660"/>
      <c r="C156" s="660"/>
      <c r="D156" s="660"/>
      <c r="E156" s="660"/>
      <c r="F156" s="660"/>
      <c r="G156" s="152"/>
      <c r="H156" s="152"/>
      <c r="I156" s="152"/>
      <c r="J156" s="152"/>
      <c r="K156" s="535">
        <v>45</v>
      </c>
    </row>
    <row r="157" spans="1:11" ht="23.25" customHeight="1" x14ac:dyDescent="0.25">
      <c r="A157" s="814" t="s">
        <v>459</v>
      </c>
      <c r="B157" s="814"/>
      <c r="C157" s="814"/>
      <c r="D157" s="814"/>
      <c r="E157" s="814"/>
      <c r="F157" s="814"/>
      <c r="G157" s="814"/>
      <c r="H157" s="814"/>
      <c r="I157" s="814"/>
      <c r="J157" s="814"/>
      <c r="K157" s="814"/>
    </row>
    <row r="158" spans="1:11" ht="23.25" customHeight="1" x14ac:dyDescent="0.25">
      <c r="A158" s="814" t="s">
        <v>78</v>
      </c>
      <c r="B158" s="814"/>
      <c r="C158" s="814"/>
      <c r="D158" s="814"/>
      <c r="E158" s="814"/>
      <c r="F158" s="814"/>
      <c r="G158" s="814"/>
      <c r="H158" s="814"/>
      <c r="I158" s="814"/>
      <c r="J158" s="814"/>
      <c r="K158" s="814"/>
    </row>
    <row r="159" spans="1:11" ht="23.25" customHeight="1" thickBot="1" x14ac:dyDescent="0.3">
      <c r="A159" s="795" t="s">
        <v>490</v>
      </c>
      <c r="B159" s="795"/>
      <c r="C159" s="795"/>
      <c r="D159" s="795"/>
      <c r="E159" s="795"/>
      <c r="F159" s="795"/>
      <c r="G159" s="795"/>
      <c r="H159" s="795"/>
      <c r="I159" s="795"/>
      <c r="J159" s="795"/>
      <c r="K159" s="795"/>
    </row>
    <row r="160" spans="1:11" ht="23.25" customHeight="1" thickTop="1" x14ac:dyDescent="0.25">
      <c r="A160" s="761" t="s">
        <v>201</v>
      </c>
      <c r="B160" s="761"/>
      <c r="C160" s="661"/>
      <c r="D160" s="761" t="s">
        <v>170</v>
      </c>
      <c r="E160" s="796" t="s">
        <v>272</v>
      </c>
      <c r="F160" s="796"/>
      <c r="G160" s="796"/>
      <c r="H160" s="663"/>
      <c r="I160" s="796" t="s">
        <v>113</v>
      </c>
      <c r="J160" s="796"/>
      <c r="K160" s="796"/>
    </row>
    <row r="161" spans="1:11" ht="23.25" customHeight="1" x14ac:dyDescent="0.25">
      <c r="A161" s="762"/>
      <c r="B161" s="762"/>
      <c r="C161" s="664"/>
      <c r="D161" s="762"/>
      <c r="E161" s="181" t="s">
        <v>97</v>
      </c>
      <c r="F161" s="181" t="s">
        <v>98</v>
      </c>
      <c r="G161" s="181" t="s">
        <v>114</v>
      </c>
      <c r="H161" s="175"/>
      <c r="I161" s="181" t="s">
        <v>97</v>
      </c>
      <c r="J161" s="181" t="s">
        <v>98</v>
      </c>
      <c r="K161" s="181" t="s">
        <v>114</v>
      </c>
    </row>
    <row r="162" spans="1:11" ht="23.25" customHeight="1" x14ac:dyDescent="0.25">
      <c r="A162" s="884" t="s">
        <v>120</v>
      </c>
      <c r="B162" s="884"/>
      <c r="C162" s="128" t="s">
        <v>171</v>
      </c>
      <c r="D162" s="18" t="s">
        <v>121</v>
      </c>
      <c r="E162" s="63">
        <v>3.64</v>
      </c>
      <c r="F162" s="472">
        <v>243</v>
      </c>
      <c r="G162" s="63">
        <v>57.22</v>
      </c>
      <c r="H162" s="63"/>
      <c r="I162" s="63">
        <v>1.02</v>
      </c>
      <c r="J162" s="63">
        <v>4.9800000000000004</v>
      </c>
      <c r="K162" s="63">
        <v>3.02</v>
      </c>
    </row>
    <row r="163" spans="1:11" ht="23.25" customHeight="1" x14ac:dyDescent="0.25">
      <c r="A163" s="881" t="s">
        <v>172</v>
      </c>
      <c r="B163" s="881"/>
      <c r="C163" s="129" t="s">
        <v>173</v>
      </c>
      <c r="D163" s="18" t="s">
        <v>121</v>
      </c>
      <c r="E163" s="63">
        <v>168</v>
      </c>
      <c r="F163" s="63">
        <v>259</v>
      </c>
      <c r="G163" s="63">
        <v>218.178</v>
      </c>
      <c r="H163" s="63"/>
      <c r="I163" s="63">
        <v>179</v>
      </c>
      <c r="J163" s="63">
        <v>268</v>
      </c>
      <c r="K163" s="63">
        <v>226.85</v>
      </c>
    </row>
    <row r="164" spans="1:11" ht="23.25" customHeight="1" x14ac:dyDescent="0.25">
      <c r="A164" s="881" t="s">
        <v>123</v>
      </c>
      <c r="B164" s="881"/>
      <c r="C164" s="129" t="s">
        <v>174</v>
      </c>
      <c r="D164" s="18" t="s">
        <v>121</v>
      </c>
      <c r="E164" s="63">
        <v>126</v>
      </c>
      <c r="F164" s="63">
        <v>165</v>
      </c>
      <c r="G164" s="63">
        <v>142.74</v>
      </c>
      <c r="H164" s="63"/>
      <c r="I164" s="63">
        <v>127</v>
      </c>
      <c r="J164" s="63">
        <v>169</v>
      </c>
      <c r="K164" s="63">
        <v>146.97</v>
      </c>
    </row>
    <row r="165" spans="1:11" ht="23.25" customHeight="1" x14ac:dyDescent="0.25">
      <c r="A165" s="885" t="s">
        <v>175</v>
      </c>
      <c r="B165" s="885"/>
      <c r="C165" s="129" t="s">
        <v>176</v>
      </c>
      <c r="D165" s="18" t="s">
        <v>121</v>
      </c>
      <c r="E165" s="63">
        <v>206</v>
      </c>
      <c r="F165" s="63">
        <v>368</v>
      </c>
      <c r="G165" s="63">
        <v>290</v>
      </c>
      <c r="H165" s="63"/>
      <c r="I165" s="63">
        <v>212</v>
      </c>
      <c r="J165" s="63">
        <v>370</v>
      </c>
      <c r="K165" s="63">
        <v>296</v>
      </c>
    </row>
    <row r="166" spans="1:11" ht="23.25" customHeight="1" x14ac:dyDescent="0.25">
      <c r="A166" s="881" t="s">
        <v>177</v>
      </c>
      <c r="B166" s="881"/>
      <c r="C166" s="129" t="s">
        <v>122</v>
      </c>
      <c r="D166" s="182"/>
      <c r="E166" s="63">
        <v>7.1</v>
      </c>
      <c r="F166" s="63">
        <v>8.2200000000000006</v>
      </c>
      <c r="G166" s="63">
        <v>7.77</v>
      </c>
      <c r="H166" s="63"/>
      <c r="I166" s="63">
        <v>7.21</v>
      </c>
      <c r="J166" s="63">
        <v>8.4</v>
      </c>
      <c r="K166" s="63">
        <v>7.9</v>
      </c>
    </row>
    <row r="167" spans="1:11" ht="23.25" customHeight="1" x14ac:dyDescent="0.25">
      <c r="A167" s="881" t="s">
        <v>178</v>
      </c>
      <c r="B167" s="881"/>
      <c r="C167" s="129" t="s">
        <v>179</v>
      </c>
      <c r="D167" s="18" t="s">
        <v>121</v>
      </c>
      <c r="E167" s="63">
        <v>12</v>
      </c>
      <c r="F167" s="63">
        <v>29</v>
      </c>
      <c r="G167" s="63">
        <v>21.51</v>
      </c>
      <c r="H167" s="63"/>
      <c r="I167" s="63">
        <v>13</v>
      </c>
      <c r="J167" s="63">
        <v>32</v>
      </c>
      <c r="K167" s="63">
        <v>23.01</v>
      </c>
    </row>
    <row r="168" spans="1:11" ht="23.25" customHeight="1" x14ac:dyDescent="0.25">
      <c r="A168" s="881" t="s">
        <v>180</v>
      </c>
      <c r="B168" s="881"/>
      <c r="C168" s="129" t="s">
        <v>181</v>
      </c>
      <c r="D168" s="18" t="s">
        <v>121</v>
      </c>
      <c r="E168" s="63">
        <v>45</v>
      </c>
      <c r="F168" s="472">
        <v>72</v>
      </c>
      <c r="G168" s="63">
        <v>59.73</v>
      </c>
      <c r="H168" s="63"/>
      <c r="I168" s="63">
        <v>47</v>
      </c>
      <c r="J168" s="63">
        <v>73</v>
      </c>
      <c r="K168" s="63">
        <v>61.33</v>
      </c>
    </row>
    <row r="169" spans="1:11" ht="23.25" customHeight="1" x14ac:dyDescent="0.25">
      <c r="A169" s="881" t="s">
        <v>182</v>
      </c>
      <c r="B169" s="881"/>
      <c r="C169" s="129" t="s">
        <v>183</v>
      </c>
      <c r="D169" s="18" t="s">
        <v>121</v>
      </c>
      <c r="E169" s="63">
        <v>10</v>
      </c>
      <c r="F169" s="63">
        <v>25</v>
      </c>
      <c r="G169" s="63">
        <v>16.8</v>
      </c>
      <c r="H169" s="63"/>
      <c r="I169" s="63">
        <v>11</v>
      </c>
      <c r="J169" s="63">
        <v>26</v>
      </c>
      <c r="K169" s="63">
        <v>17.93</v>
      </c>
    </row>
    <row r="170" spans="1:11" ht="23.25" customHeight="1" x14ac:dyDescent="0.25">
      <c r="A170" s="881" t="s">
        <v>184</v>
      </c>
      <c r="B170" s="881"/>
      <c r="C170" s="130" t="s">
        <v>185</v>
      </c>
      <c r="D170" s="131" t="s">
        <v>134</v>
      </c>
      <c r="E170" s="63">
        <v>325</v>
      </c>
      <c r="F170" s="63">
        <v>598</v>
      </c>
      <c r="G170" s="63">
        <v>464.9</v>
      </c>
      <c r="H170" s="63"/>
      <c r="I170" s="63">
        <v>335</v>
      </c>
      <c r="J170" s="63">
        <v>602</v>
      </c>
      <c r="K170" s="63">
        <v>478.92</v>
      </c>
    </row>
    <row r="171" spans="1:11" ht="23.25" customHeight="1" x14ac:dyDescent="0.25">
      <c r="A171" s="882" t="s">
        <v>186</v>
      </c>
      <c r="B171" s="882"/>
      <c r="C171" s="129" t="s">
        <v>187</v>
      </c>
      <c r="D171" s="18" t="s">
        <v>121</v>
      </c>
      <c r="E171" s="63">
        <v>8</v>
      </c>
      <c r="F171" s="63">
        <v>21</v>
      </c>
      <c r="G171" s="63">
        <v>13.28</v>
      </c>
      <c r="H171" s="63"/>
      <c r="I171" s="63">
        <v>8</v>
      </c>
      <c r="J171" s="63">
        <v>22</v>
      </c>
      <c r="K171" s="63">
        <v>14.43</v>
      </c>
    </row>
    <row r="172" spans="1:11" ht="23.25" customHeight="1" x14ac:dyDescent="0.25">
      <c r="A172" s="882" t="s">
        <v>188</v>
      </c>
      <c r="B172" s="882"/>
      <c r="C172" s="129" t="s">
        <v>189</v>
      </c>
      <c r="D172" s="18" t="s">
        <v>121</v>
      </c>
      <c r="E172" s="63">
        <v>1.4</v>
      </c>
      <c r="F172" s="63">
        <v>2.4</v>
      </c>
      <c r="G172" s="63">
        <v>1.77</v>
      </c>
      <c r="H172" s="63"/>
      <c r="I172" s="63">
        <v>1.5</v>
      </c>
      <c r="J172" s="63">
        <v>2.6</v>
      </c>
      <c r="K172" s="63">
        <v>1.9</v>
      </c>
    </row>
    <row r="173" spans="1:11" ht="23.25" customHeight="1" thickBot="1" x14ac:dyDescent="0.3">
      <c r="A173" s="883" t="s">
        <v>190</v>
      </c>
      <c r="B173" s="883"/>
      <c r="C173" s="132" t="s">
        <v>191</v>
      </c>
      <c r="D173" s="133" t="s">
        <v>121</v>
      </c>
      <c r="E173" s="64">
        <v>40</v>
      </c>
      <c r="F173" s="64">
        <v>112</v>
      </c>
      <c r="G173" s="64">
        <v>72.709999999999994</v>
      </c>
      <c r="H173" s="64"/>
      <c r="I173" s="64">
        <v>47</v>
      </c>
      <c r="J173" s="64">
        <v>113</v>
      </c>
      <c r="K173" s="64">
        <v>77.7</v>
      </c>
    </row>
    <row r="174" spans="1:11" ht="23.25" customHeight="1" thickTop="1" x14ac:dyDescent="0.65">
      <c r="A174" s="598"/>
      <c r="B174" s="598"/>
      <c r="C174" s="598"/>
      <c r="D174" s="598"/>
      <c r="E174" s="599"/>
      <c r="F174" s="599"/>
      <c r="G174" s="115"/>
      <c r="H174" s="115"/>
      <c r="I174" s="115"/>
      <c r="J174" s="115"/>
      <c r="K174" s="117"/>
    </row>
    <row r="175" spans="1:11" ht="23.25" customHeight="1" x14ac:dyDescent="0.25">
      <c r="A175" s="814" t="s">
        <v>459</v>
      </c>
      <c r="B175" s="814"/>
      <c r="C175" s="814"/>
      <c r="D175" s="814"/>
      <c r="E175" s="814"/>
      <c r="F175" s="814"/>
      <c r="G175" s="814"/>
      <c r="H175" s="814"/>
      <c r="I175" s="814"/>
      <c r="J175" s="814"/>
      <c r="K175" s="814"/>
    </row>
    <row r="176" spans="1:11" ht="23.25" customHeight="1" x14ac:dyDescent="0.25">
      <c r="A176" s="814" t="s">
        <v>82</v>
      </c>
      <c r="B176" s="814"/>
      <c r="C176" s="814"/>
      <c r="D176" s="814"/>
      <c r="E176" s="814"/>
      <c r="F176" s="814"/>
      <c r="G176" s="814"/>
      <c r="H176" s="814"/>
      <c r="I176" s="814"/>
      <c r="J176" s="814"/>
      <c r="K176" s="814"/>
    </row>
    <row r="177" spans="1:11" ht="23.25" customHeight="1" thickBot="1" x14ac:dyDescent="0.3">
      <c r="A177" s="795" t="s">
        <v>490</v>
      </c>
      <c r="B177" s="795"/>
      <c r="C177" s="795"/>
      <c r="D177" s="795"/>
      <c r="E177" s="795"/>
      <c r="F177" s="795"/>
      <c r="G177" s="795"/>
      <c r="H177" s="795"/>
      <c r="I177" s="795"/>
      <c r="J177" s="795"/>
      <c r="K177" s="795"/>
    </row>
    <row r="178" spans="1:11" ht="23.25" customHeight="1" thickTop="1" x14ac:dyDescent="0.25">
      <c r="A178" s="761" t="s">
        <v>201</v>
      </c>
      <c r="B178" s="761"/>
      <c r="C178" s="661"/>
      <c r="D178" s="761" t="s">
        <v>170</v>
      </c>
      <c r="E178" s="796" t="s">
        <v>272</v>
      </c>
      <c r="F178" s="796"/>
      <c r="G178" s="796"/>
      <c r="H178" s="663"/>
      <c r="I178" s="796" t="s">
        <v>113</v>
      </c>
      <c r="J178" s="796"/>
      <c r="K178" s="796"/>
    </row>
    <row r="179" spans="1:11" ht="23.25" customHeight="1" x14ac:dyDescent="0.25">
      <c r="A179" s="762"/>
      <c r="B179" s="762"/>
      <c r="C179" s="664"/>
      <c r="D179" s="762"/>
      <c r="E179" s="181" t="s">
        <v>97</v>
      </c>
      <c r="F179" s="181" t="s">
        <v>98</v>
      </c>
      <c r="G179" s="181" t="s">
        <v>114</v>
      </c>
      <c r="H179" s="175"/>
      <c r="I179" s="181" t="s">
        <v>97</v>
      </c>
      <c r="J179" s="181" t="s">
        <v>98</v>
      </c>
      <c r="K179" s="181" t="s">
        <v>114</v>
      </c>
    </row>
    <row r="180" spans="1:11" ht="23.25" customHeight="1" x14ac:dyDescent="0.25">
      <c r="A180" s="884" t="s">
        <v>120</v>
      </c>
      <c r="B180" s="884"/>
      <c r="C180" s="128" t="s">
        <v>171</v>
      </c>
      <c r="D180" s="18" t="s">
        <v>121</v>
      </c>
      <c r="E180" s="194">
        <v>2</v>
      </c>
      <c r="F180" s="196">
        <v>16.600000000000001</v>
      </c>
      <c r="G180" s="195">
        <v>6.91</v>
      </c>
      <c r="H180" s="195"/>
      <c r="I180" s="194">
        <v>1</v>
      </c>
      <c r="J180" s="196">
        <v>6.4</v>
      </c>
      <c r="K180" s="195">
        <v>3.29</v>
      </c>
    </row>
    <row r="181" spans="1:11" ht="23.25" customHeight="1" x14ac:dyDescent="0.25">
      <c r="A181" s="881" t="s">
        <v>172</v>
      </c>
      <c r="B181" s="881"/>
      <c r="C181" s="129" t="s">
        <v>173</v>
      </c>
      <c r="D181" s="18" t="s">
        <v>121</v>
      </c>
      <c r="E181" s="197">
        <v>326</v>
      </c>
      <c r="F181" s="197">
        <v>480</v>
      </c>
      <c r="G181" s="199">
        <v>396.05</v>
      </c>
      <c r="H181" s="198"/>
      <c r="I181" s="197">
        <v>328</v>
      </c>
      <c r="J181" s="197">
        <v>480</v>
      </c>
      <c r="K181" s="199">
        <v>394.64</v>
      </c>
    </row>
    <row r="182" spans="1:11" ht="23.25" customHeight="1" x14ac:dyDescent="0.25">
      <c r="A182" s="881" t="s">
        <v>123</v>
      </c>
      <c r="B182" s="881"/>
      <c r="C182" s="129" t="s">
        <v>174</v>
      </c>
      <c r="D182" s="18" t="s">
        <v>121</v>
      </c>
      <c r="E182" s="197">
        <v>76</v>
      </c>
      <c r="F182" s="197">
        <v>144</v>
      </c>
      <c r="G182" s="199">
        <v>109.27</v>
      </c>
      <c r="H182" s="198"/>
      <c r="I182" s="197">
        <v>76</v>
      </c>
      <c r="J182" s="197">
        <v>140</v>
      </c>
      <c r="K182" s="199">
        <v>108.33</v>
      </c>
    </row>
    <row r="183" spans="1:11" ht="23.25" customHeight="1" x14ac:dyDescent="0.25">
      <c r="A183" s="885" t="s">
        <v>175</v>
      </c>
      <c r="B183" s="885"/>
      <c r="C183" s="129" t="s">
        <v>176</v>
      </c>
      <c r="D183" s="18" t="s">
        <v>121</v>
      </c>
      <c r="E183" s="197">
        <v>596</v>
      </c>
      <c r="F183" s="197">
        <v>958</v>
      </c>
      <c r="G183" s="197">
        <v>774</v>
      </c>
      <c r="H183" s="198"/>
      <c r="I183" s="197">
        <v>584</v>
      </c>
      <c r="J183" s="197">
        <v>958</v>
      </c>
      <c r="K183" s="197">
        <v>774</v>
      </c>
    </row>
    <row r="184" spans="1:11" ht="23.25" customHeight="1" x14ac:dyDescent="0.25">
      <c r="A184" s="881" t="s">
        <v>177</v>
      </c>
      <c r="B184" s="881"/>
      <c r="C184" s="129" t="s">
        <v>122</v>
      </c>
      <c r="D184" s="182"/>
      <c r="E184" s="198">
        <v>6.9</v>
      </c>
      <c r="F184" s="198">
        <v>8.9</v>
      </c>
      <c r="G184" s="199">
        <v>7.99</v>
      </c>
      <c r="H184" s="199"/>
      <c r="I184" s="198">
        <v>7.2</v>
      </c>
      <c r="J184" s="198">
        <v>8.8000000000000007</v>
      </c>
      <c r="K184" s="197">
        <v>8</v>
      </c>
    </row>
    <row r="185" spans="1:11" ht="23.25" customHeight="1" x14ac:dyDescent="0.25">
      <c r="A185" s="881" t="s">
        <v>178</v>
      </c>
      <c r="B185" s="881"/>
      <c r="C185" s="129" t="s">
        <v>179</v>
      </c>
      <c r="D185" s="18" t="s">
        <v>121</v>
      </c>
      <c r="E185" s="197">
        <v>94</v>
      </c>
      <c r="F185" s="197">
        <v>152</v>
      </c>
      <c r="G185" s="199">
        <v>124.01</v>
      </c>
      <c r="H185" s="198"/>
      <c r="I185" s="197">
        <v>94</v>
      </c>
      <c r="J185" s="197">
        <v>152</v>
      </c>
      <c r="K185" s="198">
        <v>124.1</v>
      </c>
    </row>
    <row r="186" spans="1:11" ht="23.25" customHeight="1" x14ac:dyDescent="0.25">
      <c r="A186" s="881" t="s">
        <v>180</v>
      </c>
      <c r="B186" s="881"/>
      <c r="C186" s="129" t="s">
        <v>181</v>
      </c>
      <c r="D186" s="18" t="s">
        <v>121</v>
      </c>
      <c r="E186" s="200">
        <v>81</v>
      </c>
      <c r="F186" s="200">
        <v>128</v>
      </c>
      <c r="G186" s="676">
        <v>99.19</v>
      </c>
      <c r="H186" s="201"/>
      <c r="I186" s="197">
        <v>58</v>
      </c>
      <c r="J186" s="197">
        <v>132</v>
      </c>
      <c r="K186" s="199">
        <v>98.56</v>
      </c>
    </row>
    <row r="187" spans="1:11" ht="23.25" customHeight="1" x14ac:dyDescent="0.25">
      <c r="A187" s="881" t="s">
        <v>182</v>
      </c>
      <c r="B187" s="881"/>
      <c r="C187" s="129" t="s">
        <v>183</v>
      </c>
      <c r="D187" s="18" t="s">
        <v>121</v>
      </c>
      <c r="E187" s="198">
        <v>16.100000000000001</v>
      </c>
      <c r="F187" s="198">
        <v>49.4</v>
      </c>
      <c r="G187" s="198">
        <v>36.200000000000003</v>
      </c>
      <c r="H187" s="198"/>
      <c r="I187" s="198">
        <v>16.100000000000001</v>
      </c>
      <c r="J187" s="198">
        <v>55.5</v>
      </c>
      <c r="K187" s="199">
        <v>36.07</v>
      </c>
    </row>
    <row r="188" spans="1:11" ht="23.25" customHeight="1" x14ac:dyDescent="0.25">
      <c r="A188" s="881" t="s">
        <v>184</v>
      </c>
      <c r="B188" s="881"/>
      <c r="C188" s="130" t="s">
        <v>185</v>
      </c>
      <c r="D188" s="131" t="s">
        <v>134</v>
      </c>
      <c r="E188" s="197">
        <v>976</v>
      </c>
      <c r="F188" s="197">
        <v>1440</v>
      </c>
      <c r="G188" s="199">
        <v>1187.8399999999999</v>
      </c>
      <c r="H188" s="202"/>
      <c r="I188" s="203">
        <v>976</v>
      </c>
      <c r="J188" s="203">
        <v>1448</v>
      </c>
      <c r="K188" s="202">
        <v>1188.0999999999999</v>
      </c>
    </row>
    <row r="189" spans="1:11" ht="23.25" customHeight="1" x14ac:dyDescent="0.25">
      <c r="A189" s="882" t="s">
        <v>186</v>
      </c>
      <c r="B189" s="882"/>
      <c r="C189" s="129" t="s">
        <v>187</v>
      </c>
      <c r="D189" s="18" t="s">
        <v>121</v>
      </c>
      <c r="E189" s="197">
        <v>40</v>
      </c>
      <c r="F189" s="197">
        <v>128</v>
      </c>
      <c r="G189" s="199">
        <v>70.88</v>
      </c>
      <c r="H189" s="202"/>
      <c r="I189" s="203">
        <v>40</v>
      </c>
      <c r="J189" s="203">
        <v>120</v>
      </c>
      <c r="K189" s="677">
        <v>70.61</v>
      </c>
    </row>
    <row r="190" spans="1:11" ht="23.25" customHeight="1" x14ac:dyDescent="0.25">
      <c r="A190" s="882" t="s">
        <v>188</v>
      </c>
      <c r="B190" s="882"/>
      <c r="C190" s="129" t="s">
        <v>189</v>
      </c>
      <c r="D190" s="18" t="s">
        <v>121</v>
      </c>
      <c r="E190" s="197">
        <v>2</v>
      </c>
      <c r="F190" s="198">
        <v>9.5</v>
      </c>
      <c r="G190" s="199">
        <v>6.32</v>
      </c>
      <c r="H190" s="202"/>
      <c r="I190" s="202">
        <v>1.8</v>
      </c>
      <c r="J190" s="202">
        <v>9.4</v>
      </c>
      <c r="K190" s="202">
        <v>6.2</v>
      </c>
    </row>
    <row r="191" spans="1:11" ht="23.25" customHeight="1" thickBot="1" x14ac:dyDescent="0.3">
      <c r="A191" s="883" t="s">
        <v>190</v>
      </c>
      <c r="B191" s="883"/>
      <c r="C191" s="132" t="s">
        <v>191</v>
      </c>
      <c r="D191" s="133" t="s">
        <v>121</v>
      </c>
      <c r="E191" s="204">
        <v>227</v>
      </c>
      <c r="F191" s="204">
        <v>394</v>
      </c>
      <c r="G191" s="678">
        <v>300.57</v>
      </c>
      <c r="H191" s="205"/>
      <c r="I191" s="204">
        <v>236</v>
      </c>
      <c r="J191" s="204">
        <v>379</v>
      </c>
      <c r="K191" s="678">
        <v>300.82</v>
      </c>
    </row>
    <row r="192" spans="1:11" ht="23.25" customHeight="1" thickTop="1" x14ac:dyDescent="0.25">
      <c r="A192" s="829" t="s">
        <v>324</v>
      </c>
      <c r="B192" s="829"/>
      <c r="C192" s="829"/>
      <c r="D192" s="829"/>
      <c r="E192" s="829"/>
      <c r="F192" s="829"/>
      <c r="G192" s="829"/>
      <c r="H192" s="829"/>
      <c r="I192" s="829"/>
      <c r="J192" s="829"/>
      <c r="K192" s="150" t="s">
        <v>91</v>
      </c>
    </row>
    <row r="193" spans="1:11" ht="23.25" customHeight="1" x14ac:dyDescent="0.25">
      <c r="A193" s="729"/>
      <c r="B193" s="729"/>
      <c r="C193" s="729"/>
      <c r="D193" s="729"/>
      <c r="E193" s="729"/>
      <c r="F193" s="729"/>
      <c r="G193" s="729"/>
      <c r="H193" s="729"/>
      <c r="I193" s="729"/>
      <c r="J193" s="729"/>
      <c r="K193" s="150"/>
    </row>
    <row r="194" spans="1:11" ht="23.25" customHeight="1" x14ac:dyDescent="0.25">
      <c r="J194" s="665"/>
    </row>
    <row r="195" spans="1:11" ht="23.25" customHeight="1" x14ac:dyDescent="0.25">
      <c r="A195" s="660" t="s">
        <v>228</v>
      </c>
      <c r="B195" s="660"/>
      <c r="C195" s="660"/>
      <c r="D195" s="660"/>
      <c r="E195" s="660"/>
      <c r="F195" s="660"/>
      <c r="G195" s="152"/>
      <c r="H195" s="152"/>
      <c r="I195" s="152"/>
      <c r="J195" s="152"/>
      <c r="K195" s="535">
        <v>46</v>
      </c>
    </row>
    <row r="196" spans="1:11" ht="23.25" customHeight="1" x14ac:dyDescent="0.25">
      <c r="A196" s="814" t="s">
        <v>459</v>
      </c>
      <c r="B196" s="814"/>
      <c r="C196" s="814"/>
      <c r="D196" s="814"/>
      <c r="E196" s="814"/>
      <c r="F196" s="814"/>
      <c r="G196" s="814"/>
      <c r="H196" s="814"/>
      <c r="I196" s="814"/>
      <c r="J196" s="814"/>
      <c r="K196" s="814"/>
    </row>
    <row r="197" spans="1:11" ht="23.25" customHeight="1" x14ac:dyDescent="0.25">
      <c r="A197" s="814" t="s">
        <v>83</v>
      </c>
      <c r="B197" s="814"/>
      <c r="C197" s="814"/>
      <c r="D197" s="814"/>
      <c r="E197" s="814"/>
      <c r="F197" s="814"/>
      <c r="G197" s="814"/>
      <c r="H197" s="814"/>
      <c r="I197" s="814"/>
      <c r="J197" s="814"/>
      <c r="K197" s="814"/>
    </row>
    <row r="198" spans="1:11" ht="23.25" customHeight="1" thickBot="1" x14ac:dyDescent="0.3">
      <c r="A198" s="795" t="s">
        <v>490</v>
      </c>
      <c r="B198" s="795"/>
      <c r="C198" s="795"/>
      <c r="D198" s="795"/>
      <c r="E198" s="795"/>
      <c r="F198" s="795"/>
      <c r="G198" s="795"/>
      <c r="H198" s="795"/>
      <c r="I198" s="795"/>
      <c r="J198" s="795"/>
      <c r="K198" s="795"/>
    </row>
    <row r="199" spans="1:11" ht="23.25" customHeight="1" thickTop="1" x14ac:dyDescent="0.25">
      <c r="A199" s="761" t="s">
        <v>201</v>
      </c>
      <c r="B199" s="761"/>
      <c r="C199" s="661"/>
      <c r="D199" s="761" t="s">
        <v>170</v>
      </c>
      <c r="E199" s="796" t="s">
        <v>272</v>
      </c>
      <c r="F199" s="796"/>
      <c r="G199" s="796"/>
      <c r="H199" s="663"/>
      <c r="I199" s="796" t="s">
        <v>113</v>
      </c>
      <c r="J199" s="796"/>
      <c r="K199" s="796"/>
    </row>
    <row r="200" spans="1:11" ht="23.25" customHeight="1" x14ac:dyDescent="0.25">
      <c r="A200" s="762"/>
      <c r="B200" s="762"/>
      <c r="C200" s="664"/>
      <c r="D200" s="762"/>
      <c r="E200" s="181" t="s">
        <v>97</v>
      </c>
      <c r="F200" s="181" t="s">
        <v>98</v>
      </c>
      <c r="G200" s="181" t="s">
        <v>114</v>
      </c>
      <c r="H200" s="175"/>
      <c r="I200" s="181" t="s">
        <v>97</v>
      </c>
      <c r="J200" s="181" t="s">
        <v>98</v>
      </c>
      <c r="K200" s="181" t="s">
        <v>114</v>
      </c>
    </row>
    <row r="201" spans="1:11" ht="23.25" customHeight="1" x14ac:dyDescent="0.25">
      <c r="A201" s="884" t="s">
        <v>120</v>
      </c>
      <c r="B201" s="884"/>
      <c r="C201" s="128" t="s">
        <v>171</v>
      </c>
      <c r="D201" s="18" t="s">
        <v>121</v>
      </c>
      <c r="E201" s="332">
        <v>5.13</v>
      </c>
      <c r="F201" s="333">
        <v>171</v>
      </c>
      <c r="G201" s="332">
        <v>42.55</v>
      </c>
      <c r="H201" s="332"/>
      <c r="I201" s="332">
        <v>0.84</v>
      </c>
      <c r="J201" s="333">
        <v>120</v>
      </c>
      <c r="K201" s="332">
        <v>19.309999999999999</v>
      </c>
    </row>
    <row r="202" spans="1:11" ht="23.25" customHeight="1" x14ac:dyDescent="0.25">
      <c r="A202" s="881" t="s">
        <v>172</v>
      </c>
      <c r="B202" s="881"/>
      <c r="C202" s="129" t="s">
        <v>173</v>
      </c>
      <c r="D202" s="18" t="s">
        <v>121</v>
      </c>
      <c r="E202" s="331">
        <v>312</v>
      </c>
      <c r="F202" s="331">
        <v>583</v>
      </c>
      <c r="G202" s="492">
        <v>399.92</v>
      </c>
      <c r="H202" s="331"/>
      <c r="I202" s="331">
        <v>312</v>
      </c>
      <c r="J202" s="331">
        <v>571</v>
      </c>
      <c r="K202" s="492">
        <v>403.74</v>
      </c>
    </row>
    <row r="203" spans="1:11" ht="23.25" customHeight="1" x14ac:dyDescent="0.25">
      <c r="A203" s="881" t="s">
        <v>123</v>
      </c>
      <c r="B203" s="881"/>
      <c r="C203" s="129" t="s">
        <v>174</v>
      </c>
      <c r="D203" s="18" t="s">
        <v>121</v>
      </c>
      <c r="E203" s="63">
        <v>118</v>
      </c>
      <c r="F203" s="63">
        <v>162</v>
      </c>
      <c r="G203" s="63">
        <v>134.81</v>
      </c>
      <c r="H203" s="63"/>
      <c r="I203" s="63">
        <v>116</v>
      </c>
      <c r="J203" s="63">
        <v>158</v>
      </c>
      <c r="K203" s="63">
        <v>136.34</v>
      </c>
    </row>
    <row r="204" spans="1:11" ht="23.25" customHeight="1" x14ac:dyDescent="0.25">
      <c r="A204" s="885" t="s">
        <v>175</v>
      </c>
      <c r="B204" s="885"/>
      <c r="C204" s="129" t="s">
        <v>176</v>
      </c>
      <c r="D204" s="18" t="s">
        <v>121</v>
      </c>
      <c r="E204" s="129">
        <v>590</v>
      </c>
      <c r="F204" s="331">
        <v>1138</v>
      </c>
      <c r="G204" s="331">
        <v>694</v>
      </c>
      <c r="H204" s="331"/>
      <c r="I204" s="331">
        <v>572</v>
      </c>
      <c r="J204" s="331">
        <v>1120</v>
      </c>
      <c r="K204" s="331">
        <v>706</v>
      </c>
    </row>
    <row r="205" spans="1:11" ht="23.25" customHeight="1" x14ac:dyDescent="0.25">
      <c r="A205" s="881" t="s">
        <v>177</v>
      </c>
      <c r="B205" s="881"/>
      <c r="C205" s="129" t="s">
        <v>122</v>
      </c>
      <c r="D205" s="182"/>
      <c r="E205" s="63">
        <v>6.8</v>
      </c>
      <c r="F205" s="63">
        <v>8.8000000000000007</v>
      </c>
      <c r="G205" s="63">
        <v>7.79</v>
      </c>
      <c r="H205" s="63"/>
      <c r="I205" s="63">
        <v>6.6</v>
      </c>
      <c r="J205" s="63">
        <v>8.6999999999999993</v>
      </c>
      <c r="K205" s="63">
        <v>7.71</v>
      </c>
    </row>
    <row r="206" spans="1:11" ht="23.25" customHeight="1" x14ac:dyDescent="0.25">
      <c r="A206" s="881" t="s">
        <v>178</v>
      </c>
      <c r="B206" s="881"/>
      <c r="C206" s="129" t="s">
        <v>179</v>
      </c>
      <c r="D206" s="18" t="s">
        <v>121</v>
      </c>
      <c r="E206" s="63">
        <v>85</v>
      </c>
      <c r="F206" s="63">
        <v>209</v>
      </c>
      <c r="G206" s="63">
        <v>99.24</v>
      </c>
      <c r="H206" s="63"/>
      <c r="I206" s="63">
        <v>87</v>
      </c>
      <c r="J206" s="63">
        <v>210</v>
      </c>
      <c r="K206" s="63">
        <v>101.83</v>
      </c>
    </row>
    <row r="207" spans="1:11" ht="23.25" customHeight="1" x14ac:dyDescent="0.25">
      <c r="A207" s="881" t="s">
        <v>180</v>
      </c>
      <c r="B207" s="881"/>
      <c r="C207" s="129" t="s">
        <v>181</v>
      </c>
      <c r="D207" s="18" t="s">
        <v>121</v>
      </c>
      <c r="E207" s="63">
        <v>78</v>
      </c>
      <c r="F207" s="63">
        <v>158</v>
      </c>
      <c r="G207" s="63">
        <v>102.24</v>
      </c>
      <c r="H207" s="63"/>
      <c r="I207" s="63">
        <v>69</v>
      </c>
      <c r="J207" s="63">
        <v>142</v>
      </c>
      <c r="K207" s="63">
        <v>103.54</v>
      </c>
    </row>
    <row r="208" spans="1:11" ht="23.25" customHeight="1" x14ac:dyDescent="0.25">
      <c r="A208" s="881" t="s">
        <v>182</v>
      </c>
      <c r="B208" s="881"/>
      <c r="C208" s="129" t="s">
        <v>183</v>
      </c>
      <c r="D208" s="18" t="s">
        <v>121</v>
      </c>
      <c r="E208" s="63">
        <v>10</v>
      </c>
      <c r="F208" s="63">
        <v>84</v>
      </c>
      <c r="G208" s="63">
        <v>34.86</v>
      </c>
      <c r="H208" s="63"/>
      <c r="I208" s="63">
        <v>10</v>
      </c>
      <c r="J208" s="63">
        <v>80</v>
      </c>
      <c r="K208" s="63">
        <v>35.21</v>
      </c>
    </row>
    <row r="209" spans="1:11" ht="23.25" customHeight="1" x14ac:dyDescent="0.25">
      <c r="A209" s="881" t="s">
        <v>184</v>
      </c>
      <c r="B209" s="881"/>
      <c r="C209" s="130" t="s">
        <v>185</v>
      </c>
      <c r="D209" s="131" t="s">
        <v>134</v>
      </c>
      <c r="E209" s="330">
        <v>919</v>
      </c>
      <c r="F209" s="330">
        <v>1963</v>
      </c>
      <c r="G209" s="668">
        <v>1095.68</v>
      </c>
      <c r="H209" s="330"/>
      <c r="I209" s="330">
        <v>922</v>
      </c>
      <c r="J209" s="330">
        <v>1791</v>
      </c>
      <c r="K209" s="668">
        <v>1093.08</v>
      </c>
    </row>
    <row r="210" spans="1:11" ht="23.25" customHeight="1" x14ac:dyDescent="0.25">
      <c r="A210" s="882" t="s">
        <v>186</v>
      </c>
      <c r="B210" s="882"/>
      <c r="C210" s="129" t="s">
        <v>187</v>
      </c>
      <c r="D210" s="18" t="s">
        <v>121</v>
      </c>
      <c r="E210" s="206" t="s">
        <v>316</v>
      </c>
      <c r="F210" s="206" t="s">
        <v>316</v>
      </c>
      <c r="G210" s="206" t="s">
        <v>316</v>
      </c>
      <c r="H210" s="206"/>
      <c r="I210" s="206" t="s">
        <v>316</v>
      </c>
      <c r="J210" s="206" t="s">
        <v>316</v>
      </c>
      <c r="K210" s="206" t="s">
        <v>316</v>
      </c>
    </row>
    <row r="211" spans="1:11" ht="23.25" customHeight="1" x14ac:dyDescent="0.25">
      <c r="A211" s="882" t="s">
        <v>188</v>
      </c>
      <c r="B211" s="882"/>
      <c r="C211" s="129" t="s">
        <v>189</v>
      </c>
      <c r="D211" s="18" t="s">
        <v>121</v>
      </c>
      <c r="E211" s="206" t="s">
        <v>316</v>
      </c>
      <c r="F211" s="206" t="s">
        <v>316</v>
      </c>
      <c r="G211" s="206" t="s">
        <v>316</v>
      </c>
      <c r="H211" s="206"/>
      <c r="I211" s="206" t="s">
        <v>316</v>
      </c>
      <c r="J211" s="206" t="s">
        <v>316</v>
      </c>
      <c r="K211" s="206" t="s">
        <v>316</v>
      </c>
    </row>
    <row r="212" spans="1:11" ht="23.25" customHeight="1" thickBot="1" x14ac:dyDescent="0.3">
      <c r="A212" s="883" t="s">
        <v>190</v>
      </c>
      <c r="B212" s="883"/>
      <c r="C212" s="132" t="s">
        <v>191</v>
      </c>
      <c r="D212" s="133" t="s">
        <v>121</v>
      </c>
      <c r="E212" s="64">
        <v>207</v>
      </c>
      <c r="F212" s="64">
        <v>396</v>
      </c>
      <c r="G212" s="64">
        <v>244.77</v>
      </c>
      <c r="H212" s="64"/>
      <c r="I212" s="64">
        <v>208</v>
      </c>
      <c r="J212" s="64">
        <v>409</v>
      </c>
      <c r="K212" s="64">
        <v>257.02999999999997</v>
      </c>
    </row>
    <row r="213" spans="1:11" ht="23.25" customHeight="1" thickTop="1" x14ac:dyDescent="0.65">
      <c r="A213" s="601" t="s">
        <v>273</v>
      </c>
      <c r="B213" s="601"/>
      <c r="C213" s="601"/>
      <c r="D213" s="601"/>
      <c r="E213" s="601"/>
      <c r="F213" s="601"/>
      <c r="G213" s="115"/>
      <c r="H213" s="115"/>
      <c r="I213" s="115"/>
      <c r="J213" s="115"/>
      <c r="K213" s="117"/>
    </row>
    <row r="214" spans="1:11" ht="23.25" customHeight="1" x14ac:dyDescent="0.25">
      <c r="A214" s="814" t="s">
        <v>459</v>
      </c>
      <c r="B214" s="814"/>
      <c r="C214" s="814"/>
      <c r="D214" s="814"/>
      <c r="E214" s="814"/>
      <c r="F214" s="814"/>
      <c r="G214" s="814"/>
      <c r="H214" s="814"/>
      <c r="I214" s="814"/>
      <c r="J214" s="814"/>
      <c r="K214" s="814"/>
    </row>
    <row r="215" spans="1:11" ht="23.25" customHeight="1" x14ac:dyDescent="0.25">
      <c r="A215" s="814" t="s">
        <v>84</v>
      </c>
      <c r="B215" s="814"/>
      <c r="C215" s="814"/>
      <c r="D215" s="814"/>
      <c r="E215" s="814"/>
      <c r="F215" s="814"/>
      <c r="G215" s="814"/>
      <c r="H215" s="814"/>
      <c r="I215" s="814"/>
      <c r="J215" s="814"/>
      <c r="K215" s="814"/>
    </row>
    <row r="216" spans="1:11" ht="23.25" customHeight="1" thickBot="1" x14ac:dyDescent="0.3">
      <c r="A216" s="795" t="s">
        <v>490</v>
      </c>
      <c r="B216" s="795"/>
      <c r="C216" s="795"/>
      <c r="D216" s="795"/>
      <c r="E216" s="795"/>
      <c r="F216" s="795"/>
      <c r="G216" s="795"/>
      <c r="H216" s="795"/>
      <c r="I216" s="795"/>
      <c r="J216" s="795"/>
      <c r="K216" s="795"/>
    </row>
    <row r="217" spans="1:11" ht="23.25" customHeight="1" thickTop="1" x14ac:dyDescent="0.25">
      <c r="A217" s="761" t="s">
        <v>201</v>
      </c>
      <c r="B217" s="761"/>
      <c r="C217" s="661"/>
      <c r="D217" s="761" t="s">
        <v>170</v>
      </c>
      <c r="E217" s="796" t="s">
        <v>272</v>
      </c>
      <c r="F217" s="796"/>
      <c r="G217" s="796"/>
      <c r="H217" s="663"/>
      <c r="I217" s="796" t="s">
        <v>113</v>
      </c>
      <c r="J217" s="796"/>
      <c r="K217" s="796"/>
    </row>
    <row r="218" spans="1:11" ht="23.25" customHeight="1" x14ac:dyDescent="0.25">
      <c r="A218" s="762"/>
      <c r="B218" s="762"/>
      <c r="C218" s="664"/>
      <c r="D218" s="762"/>
      <c r="E218" s="181" t="s">
        <v>97</v>
      </c>
      <c r="F218" s="181" t="s">
        <v>98</v>
      </c>
      <c r="G218" s="181" t="s">
        <v>114</v>
      </c>
      <c r="H218" s="175"/>
      <c r="I218" s="181" t="s">
        <v>97</v>
      </c>
      <c r="J218" s="181" t="s">
        <v>98</v>
      </c>
      <c r="K218" s="181" t="s">
        <v>114</v>
      </c>
    </row>
    <row r="219" spans="1:11" ht="23.25" customHeight="1" x14ac:dyDescent="0.25">
      <c r="A219" s="884" t="s">
        <v>120</v>
      </c>
      <c r="B219" s="884"/>
      <c r="C219" s="128" t="s">
        <v>171</v>
      </c>
      <c r="D219" s="18" t="s">
        <v>121</v>
      </c>
      <c r="E219" s="335">
        <v>1</v>
      </c>
      <c r="F219" s="335">
        <v>95</v>
      </c>
      <c r="G219" s="336">
        <v>27.75</v>
      </c>
      <c r="H219" s="336"/>
      <c r="I219" s="337">
        <v>0.5</v>
      </c>
      <c r="J219" s="335">
        <v>60</v>
      </c>
      <c r="K219" s="336">
        <v>14.42</v>
      </c>
    </row>
    <row r="220" spans="1:11" ht="23.25" customHeight="1" x14ac:dyDescent="0.25">
      <c r="A220" s="881" t="s">
        <v>172</v>
      </c>
      <c r="B220" s="881"/>
      <c r="C220" s="129" t="s">
        <v>173</v>
      </c>
      <c r="D220" s="18" t="s">
        <v>121</v>
      </c>
      <c r="E220" s="338">
        <v>330</v>
      </c>
      <c r="F220" s="338">
        <v>1132</v>
      </c>
      <c r="G220" s="339">
        <v>669.37</v>
      </c>
      <c r="H220" s="339"/>
      <c r="I220" s="338">
        <v>341</v>
      </c>
      <c r="J220" s="338">
        <v>1112</v>
      </c>
      <c r="K220" s="339">
        <v>671.81</v>
      </c>
    </row>
    <row r="221" spans="1:11" ht="23.25" customHeight="1" x14ac:dyDescent="0.25">
      <c r="A221" s="881" t="s">
        <v>123</v>
      </c>
      <c r="B221" s="881"/>
      <c r="C221" s="129" t="s">
        <v>174</v>
      </c>
      <c r="D221" s="18" t="s">
        <v>121</v>
      </c>
      <c r="E221" s="338">
        <v>124</v>
      </c>
      <c r="F221" s="338">
        <v>166</v>
      </c>
      <c r="G221" s="339">
        <v>143.94</v>
      </c>
      <c r="H221" s="340"/>
      <c r="I221" s="338">
        <v>124</v>
      </c>
      <c r="J221" s="338">
        <v>164</v>
      </c>
      <c r="K221" s="339">
        <v>143.96</v>
      </c>
    </row>
    <row r="222" spans="1:11" ht="23.25" customHeight="1" x14ac:dyDescent="0.25">
      <c r="A222" s="885" t="s">
        <v>175</v>
      </c>
      <c r="B222" s="885"/>
      <c r="C222" s="129" t="s">
        <v>176</v>
      </c>
      <c r="D222" s="18" t="s">
        <v>121</v>
      </c>
      <c r="E222" s="338">
        <v>684</v>
      </c>
      <c r="F222" s="338">
        <v>3002</v>
      </c>
      <c r="G222" s="338">
        <v>1692</v>
      </c>
      <c r="H222" s="340"/>
      <c r="I222" s="338">
        <v>696</v>
      </c>
      <c r="J222" s="338">
        <v>2990</v>
      </c>
      <c r="K222" s="338">
        <v>1698</v>
      </c>
    </row>
    <row r="223" spans="1:11" ht="23.25" customHeight="1" x14ac:dyDescent="0.25">
      <c r="A223" s="881" t="s">
        <v>177</v>
      </c>
      <c r="B223" s="881"/>
      <c r="C223" s="129" t="s">
        <v>122</v>
      </c>
      <c r="D223" s="182"/>
      <c r="E223" s="338">
        <v>7</v>
      </c>
      <c r="F223" s="340">
        <v>8.3000000000000007</v>
      </c>
      <c r="G223" s="340">
        <v>7.9</v>
      </c>
      <c r="H223" s="340"/>
      <c r="I223" s="340">
        <v>7.1</v>
      </c>
      <c r="J223" s="340">
        <v>9.6999999999999993</v>
      </c>
      <c r="K223" s="339">
        <v>7.74</v>
      </c>
    </row>
    <row r="224" spans="1:11" ht="23.25" customHeight="1" x14ac:dyDescent="0.25">
      <c r="A224" s="881" t="s">
        <v>178</v>
      </c>
      <c r="B224" s="881"/>
      <c r="C224" s="129" t="s">
        <v>179</v>
      </c>
      <c r="D224" s="18" t="s">
        <v>121</v>
      </c>
      <c r="E224" s="338">
        <v>120</v>
      </c>
      <c r="F224" s="338">
        <v>826</v>
      </c>
      <c r="G224" s="339">
        <v>401.92</v>
      </c>
      <c r="H224" s="340"/>
      <c r="I224" s="338">
        <v>122</v>
      </c>
      <c r="J224" s="338">
        <v>812</v>
      </c>
      <c r="K224" s="339">
        <v>403.82</v>
      </c>
    </row>
    <row r="225" spans="1:11" ht="23.25" customHeight="1" x14ac:dyDescent="0.25">
      <c r="A225" s="881" t="s">
        <v>180</v>
      </c>
      <c r="B225" s="881"/>
      <c r="C225" s="129" t="s">
        <v>181</v>
      </c>
      <c r="D225" s="18" t="s">
        <v>121</v>
      </c>
      <c r="E225" s="341">
        <v>66</v>
      </c>
      <c r="F225" s="341">
        <v>224</v>
      </c>
      <c r="G225" s="669">
        <v>130.22999999999999</v>
      </c>
      <c r="H225" s="342"/>
      <c r="I225" s="338">
        <v>67</v>
      </c>
      <c r="J225" s="338">
        <v>221</v>
      </c>
      <c r="K225" s="339">
        <v>130.51</v>
      </c>
    </row>
    <row r="226" spans="1:11" ht="23.25" customHeight="1" x14ac:dyDescent="0.25">
      <c r="A226" s="881" t="s">
        <v>182</v>
      </c>
      <c r="B226" s="881"/>
      <c r="C226" s="129" t="s">
        <v>183</v>
      </c>
      <c r="D226" s="18" t="s">
        <v>121</v>
      </c>
      <c r="E226" s="338">
        <v>40</v>
      </c>
      <c r="F226" s="338">
        <v>141</v>
      </c>
      <c r="G226" s="340">
        <v>84.1</v>
      </c>
      <c r="H226" s="340"/>
      <c r="I226" s="338">
        <v>43</v>
      </c>
      <c r="J226" s="338">
        <v>148</v>
      </c>
      <c r="K226" s="339">
        <v>84.37</v>
      </c>
    </row>
    <row r="227" spans="1:11" ht="23.25" customHeight="1" x14ac:dyDescent="0.25">
      <c r="A227" s="881" t="s">
        <v>184</v>
      </c>
      <c r="B227" s="881"/>
      <c r="C227" s="130" t="s">
        <v>185</v>
      </c>
      <c r="D227" s="131" t="s">
        <v>134</v>
      </c>
      <c r="E227" s="338">
        <v>1081</v>
      </c>
      <c r="F227" s="338">
        <v>4393</v>
      </c>
      <c r="G227" s="339">
        <v>2546.79</v>
      </c>
      <c r="H227" s="343"/>
      <c r="I227" s="344">
        <v>1087</v>
      </c>
      <c r="J227" s="344">
        <v>4478</v>
      </c>
      <c r="K227" s="343">
        <v>2558.9</v>
      </c>
    </row>
    <row r="228" spans="1:11" ht="23.25" customHeight="1" x14ac:dyDescent="0.25">
      <c r="A228" s="882" t="s">
        <v>186</v>
      </c>
      <c r="B228" s="882"/>
      <c r="C228" s="129" t="s">
        <v>187</v>
      </c>
      <c r="D228" s="18" t="s">
        <v>121</v>
      </c>
      <c r="E228" s="338">
        <v>97</v>
      </c>
      <c r="F228" s="338">
        <v>540</v>
      </c>
      <c r="G228" s="339">
        <v>277.73</v>
      </c>
      <c r="H228" s="343"/>
      <c r="I228" s="344">
        <v>97</v>
      </c>
      <c r="J228" s="344">
        <v>530</v>
      </c>
      <c r="K228" s="345">
        <v>279.02</v>
      </c>
    </row>
    <row r="229" spans="1:11" ht="23.25" customHeight="1" x14ac:dyDescent="0.25">
      <c r="A229" s="882" t="s">
        <v>188</v>
      </c>
      <c r="B229" s="882"/>
      <c r="C229" s="129" t="s">
        <v>189</v>
      </c>
      <c r="D229" s="18" t="s">
        <v>121</v>
      </c>
      <c r="E229" s="340">
        <v>4.9000000000000004</v>
      </c>
      <c r="F229" s="340">
        <v>8.8000000000000007</v>
      </c>
      <c r="G229" s="339">
        <v>6.92</v>
      </c>
      <c r="H229" s="345"/>
      <c r="I229" s="343">
        <v>4.8</v>
      </c>
      <c r="J229" s="343">
        <v>8.8000000000000007</v>
      </c>
      <c r="K229" s="345">
        <v>6.93</v>
      </c>
    </row>
    <row r="230" spans="1:11" ht="23.25" customHeight="1" thickBot="1" x14ac:dyDescent="0.3">
      <c r="A230" s="883" t="s">
        <v>190</v>
      </c>
      <c r="B230" s="883"/>
      <c r="C230" s="132" t="s">
        <v>191</v>
      </c>
      <c r="D230" s="133" t="s">
        <v>121</v>
      </c>
      <c r="E230" s="346">
        <v>212</v>
      </c>
      <c r="F230" s="346">
        <v>980</v>
      </c>
      <c r="G230" s="679">
        <v>541.44000000000005</v>
      </c>
      <c r="H230" s="347"/>
      <c r="I230" s="346">
        <v>229</v>
      </c>
      <c r="J230" s="346">
        <v>985</v>
      </c>
      <c r="K230" s="679">
        <v>543.16</v>
      </c>
    </row>
    <row r="231" spans="1:11" ht="23.25" customHeight="1" thickTop="1" x14ac:dyDescent="0.25">
      <c r="A231" s="829" t="s">
        <v>324</v>
      </c>
      <c r="B231" s="829"/>
      <c r="C231" s="829"/>
      <c r="D231" s="829"/>
      <c r="E231" s="829"/>
      <c r="F231" s="829"/>
      <c r="G231" s="829"/>
      <c r="H231" s="829"/>
      <c r="I231" s="829"/>
      <c r="J231" s="829"/>
      <c r="K231" s="150" t="s">
        <v>91</v>
      </c>
    </row>
    <row r="232" spans="1:11" ht="23.25" customHeight="1" x14ac:dyDescent="0.25">
      <c r="A232" s="729"/>
      <c r="B232" s="729"/>
      <c r="C232" s="729"/>
      <c r="D232" s="729"/>
      <c r="E232" s="729"/>
      <c r="F232" s="729"/>
      <c r="G232" s="729"/>
      <c r="H232" s="729"/>
      <c r="I232" s="729"/>
      <c r="J232" s="729"/>
      <c r="K232" s="150"/>
    </row>
    <row r="233" spans="1:11" ht="27" customHeight="1" x14ac:dyDescent="0.25">
      <c r="J233" s="665"/>
    </row>
    <row r="234" spans="1:11" ht="23.25" customHeight="1" x14ac:dyDescent="0.25">
      <c r="A234" s="660" t="s">
        <v>228</v>
      </c>
      <c r="B234" s="660"/>
      <c r="C234" s="660"/>
      <c r="D234" s="660"/>
      <c r="E234" s="660"/>
      <c r="F234" s="660"/>
      <c r="G234" s="152"/>
      <c r="H234" s="152"/>
      <c r="I234" s="152"/>
      <c r="J234" s="152"/>
      <c r="K234" s="535">
        <v>47</v>
      </c>
    </row>
    <row r="235" spans="1:11" ht="23.25" customHeight="1" x14ac:dyDescent="0.25">
      <c r="A235" s="814" t="s">
        <v>459</v>
      </c>
      <c r="B235" s="814"/>
      <c r="C235" s="814"/>
      <c r="D235" s="814"/>
      <c r="E235" s="814"/>
      <c r="F235" s="814"/>
      <c r="G235" s="814"/>
      <c r="H235" s="814"/>
      <c r="I235" s="814"/>
      <c r="J235" s="814"/>
      <c r="K235" s="814"/>
    </row>
    <row r="236" spans="1:11" ht="23.25" customHeight="1" x14ac:dyDescent="0.25">
      <c r="A236" s="814" t="s">
        <v>85</v>
      </c>
      <c r="B236" s="814"/>
      <c r="C236" s="814"/>
      <c r="D236" s="814"/>
      <c r="E236" s="814"/>
      <c r="F236" s="814"/>
      <c r="G236" s="814"/>
      <c r="H236" s="814"/>
      <c r="I236" s="814"/>
      <c r="J236" s="814"/>
      <c r="K236" s="814"/>
    </row>
    <row r="237" spans="1:11" ht="23.25" customHeight="1" thickBot="1" x14ac:dyDescent="0.3">
      <c r="A237" s="795" t="s">
        <v>490</v>
      </c>
      <c r="B237" s="795"/>
      <c r="C237" s="795"/>
      <c r="D237" s="795"/>
      <c r="E237" s="795"/>
      <c r="F237" s="795"/>
      <c r="G237" s="795"/>
      <c r="H237" s="795"/>
      <c r="I237" s="795"/>
      <c r="J237" s="795"/>
      <c r="K237" s="795"/>
    </row>
    <row r="238" spans="1:11" ht="23.25" customHeight="1" thickTop="1" x14ac:dyDescent="0.25">
      <c r="A238" s="761" t="s">
        <v>201</v>
      </c>
      <c r="B238" s="761"/>
      <c r="C238" s="661"/>
      <c r="D238" s="761" t="s">
        <v>170</v>
      </c>
      <c r="E238" s="796" t="s">
        <v>272</v>
      </c>
      <c r="F238" s="796"/>
      <c r="G238" s="796"/>
      <c r="H238" s="663"/>
      <c r="I238" s="796" t="s">
        <v>113</v>
      </c>
      <c r="J238" s="796"/>
      <c r="K238" s="796"/>
    </row>
    <row r="239" spans="1:11" ht="23.25" customHeight="1" x14ac:dyDescent="0.25">
      <c r="A239" s="762"/>
      <c r="B239" s="762"/>
      <c r="C239" s="664"/>
      <c r="D239" s="762"/>
      <c r="E239" s="181" t="s">
        <v>97</v>
      </c>
      <c r="F239" s="181" t="s">
        <v>98</v>
      </c>
      <c r="G239" s="181" t="s">
        <v>114</v>
      </c>
      <c r="H239" s="175"/>
      <c r="I239" s="181" t="s">
        <v>97</v>
      </c>
      <c r="J239" s="181" t="s">
        <v>98</v>
      </c>
      <c r="K239" s="181" t="s">
        <v>114</v>
      </c>
    </row>
    <row r="240" spans="1:11" ht="23.25" customHeight="1" x14ac:dyDescent="0.25">
      <c r="A240" s="884" t="s">
        <v>120</v>
      </c>
      <c r="B240" s="884"/>
      <c r="C240" s="128" t="s">
        <v>171</v>
      </c>
      <c r="D240" s="18" t="s">
        <v>121</v>
      </c>
      <c r="E240" s="356">
        <v>9.3000000000000007</v>
      </c>
      <c r="F240" s="331">
        <v>140</v>
      </c>
      <c r="G240" s="492">
        <v>57.61</v>
      </c>
      <c r="H240" s="348"/>
      <c r="I240" s="716">
        <v>1.2</v>
      </c>
      <c r="J240" s="349">
        <v>132</v>
      </c>
      <c r="K240" s="350">
        <v>37.47</v>
      </c>
    </row>
    <row r="241" spans="1:11" ht="23.25" customHeight="1" x14ac:dyDescent="0.25">
      <c r="A241" s="881" t="s">
        <v>172</v>
      </c>
      <c r="B241" s="881"/>
      <c r="C241" s="129" t="s">
        <v>173</v>
      </c>
      <c r="D241" s="18" t="s">
        <v>121</v>
      </c>
      <c r="E241" s="331">
        <v>279</v>
      </c>
      <c r="F241" s="331">
        <v>2080</v>
      </c>
      <c r="G241" s="356">
        <v>388.9</v>
      </c>
      <c r="H241" s="351"/>
      <c r="I241" s="331">
        <v>286</v>
      </c>
      <c r="J241" s="331">
        <v>2200</v>
      </c>
      <c r="K241" s="492">
        <v>395.08</v>
      </c>
    </row>
    <row r="242" spans="1:11" ht="23.25" customHeight="1" x14ac:dyDescent="0.25">
      <c r="A242" s="881" t="s">
        <v>123</v>
      </c>
      <c r="B242" s="881"/>
      <c r="C242" s="129" t="s">
        <v>174</v>
      </c>
      <c r="D242" s="18" t="s">
        <v>121</v>
      </c>
      <c r="E242" s="129">
        <v>148</v>
      </c>
      <c r="F242" s="129">
        <v>185</v>
      </c>
      <c r="G242" s="129">
        <v>157.30000000000001</v>
      </c>
      <c r="H242" s="129"/>
      <c r="I242" s="129">
        <v>140</v>
      </c>
      <c r="J242" s="129">
        <v>165</v>
      </c>
      <c r="K242" s="129">
        <v>152.74</v>
      </c>
    </row>
    <row r="243" spans="1:11" ht="23.25" customHeight="1" x14ac:dyDescent="0.25">
      <c r="A243" s="885" t="s">
        <v>175</v>
      </c>
      <c r="B243" s="885"/>
      <c r="C243" s="129" t="s">
        <v>176</v>
      </c>
      <c r="D243" s="18" t="s">
        <v>121</v>
      </c>
      <c r="E243" s="352">
        <v>528</v>
      </c>
      <c r="F243" s="352">
        <v>3380</v>
      </c>
      <c r="G243" s="352">
        <v>726</v>
      </c>
      <c r="H243" s="353"/>
      <c r="I243" s="352">
        <v>532</v>
      </c>
      <c r="J243" s="352">
        <v>3576</v>
      </c>
      <c r="K243" s="352">
        <v>736</v>
      </c>
    </row>
    <row r="244" spans="1:11" ht="23.25" customHeight="1" x14ac:dyDescent="0.25">
      <c r="A244" s="881" t="s">
        <v>177</v>
      </c>
      <c r="B244" s="881"/>
      <c r="C244" s="129" t="s">
        <v>122</v>
      </c>
      <c r="D244" s="182"/>
      <c r="E244" s="354">
        <v>7.53</v>
      </c>
      <c r="F244" s="355">
        <v>8.7100000000000009</v>
      </c>
      <c r="G244" s="354">
        <v>7.97</v>
      </c>
      <c r="H244" s="354"/>
      <c r="I244" s="355">
        <v>7.32</v>
      </c>
      <c r="J244" s="354">
        <v>8.52</v>
      </c>
      <c r="K244" s="354">
        <v>7.87</v>
      </c>
    </row>
    <row r="245" spans="1:11" ht="23.25" customHeight="1" x14ac:dyDescent="0.25">
      <c r="A245" s="881" t="s">
        <v>178</v>
      </c>
      <c r="B245" s="881"/>
      <c r="C245" s="129" t="s">
        <v>179</v>
      </c>
      <c r="D245" s="18" t="s">
        <v>121</v>
      </c>
      <c r="E245" s="331">
        <v>83</v>
      </c>
      <c r="F245" s="331">
        <v>678</v>
      </c>
      <c r="G245" s="492">
        <v>120.21</v>
      </c>
      <c r="H245" s="356"/>
      <c r="I245" s="331">
        <v>87</v>
      </c>
      <c r="J245" s="331">
        <v>795</v>
      </c>
      <c r="K245" s="492">
        <v>123.72</v>
      </c>
    </row>
    <row r="246" spans="1:11" ht="23.25" customHeight="1" x14ac:dyDescent="0.25">
      <c r="A246" s="881" t="s">
        <v>180</v>
      </c>
      <c r="B246" s="881"/>
      <c r="C246" s="129" t="s">
        <v>181</v>
      </c>
      <c r="D246" s="18" t="s">
        <v>121</v>
      </c>
      <c r="E246" s="331">
        <v>73</v>
      </c>
      <c r="F246" s="331">
        <v>416</v>
      </c>
      <c r="G246" s="492">
        <v>98.55</v>
      </c>
      <c r="H246" s="129"/>
      <c r="I246" s="129">
        <v>74</v>
      </c>
      <c r="J246" s="129">
        <v>440</v>
      </c>
      <c r="K246" s="129">
        <v>100.96</v>
      </c>
    </row>
    <row r="247" spans="1:11" ht="23.25" customHeight="1" x14ac:dyDescent="0.25">
      <c r="A247" s="881" t="s">
        <v>182</v>
      </c>
      <c r="B247" s="881"/>
      <c r="C247" s="129" t="s">
        <v>183</v>
      </c>
      <c r="D247" s="18" t="s">
        <v>121</v>
      </c>
      <c r="E247" s="331">
        <v>19</v>
      </c>
      <c r="F247" s="331">
        <v>253</v>
      </c>
      <c r="G247" s="492">
        <v>34.229999999999997</v>
      </c>
      <c r="H247" s="129"/>
      <c r="I247" s="129">
        <v>19.600000000000001</v>
      </c>
      <c r="J247" s="129">
        <v>268</v>
      </c>
      <c r="K247" s="129">
        <v>34.630000000000003</v>
      </c>
    </row>
    <row r="248" spans="1:11" ht="23.25" customHeight="1" x14ac:dyDescent="0.25">
      <c r="A248" s="881" t="s">
        <v>184</v>
      </c>
      <c r="B248" s="881"/>
      <c r="C248" s="130" t="s">
        <v>185</v>
      </c>
      <c r="D248" s="131" t="s">
        <v>134</v>
      </c>
      <c r="E248" s="330">
        <v>798</v>
      </c>
      <c r="F248" s="330">
        <v>5200</v>
      </c>
      <c r="G248" s="668">
        <v>1089.4100000000001</v>
      </c>
      <c r="H248" s="330"/>
      <c r="I248" s="330">
        <v>806</v>
      </c>
      <c r="J248" s="330">
        <v>5500</v>
      </c>
      <c r="K248" s="668">
        <v>1106.19</v>
      </c>
    </row>
    <row r="249" spans="1:11" ht="23.25" customHeight="1" x14ac:dyDescent="0.25">
      <c r="A249" s="882" t="s">
        <v>186</v>
      </c>
      <c r="B249" s="882"/>
      <c r="C249" s="129" t="s">
        <v>187</v>
      </c>
      <c r="D249" s="18" t="s">
        <v>121</v>
      </c>
      <c r="E249" s="206" t="s">
        <v>316</v>
      </c>
      <c r="F249" s="206" t="s">
        <v>316</v>
      </c>
      <c r="G249" s="206" t="s">
        <v>316</v>
      </c>
      <c r="H249" s="129"/>
      <c r="I249" s="206" t="s">
        <v>316</v>
      </c>
      <c r="J249" s="206" t="s">
        <v>316</v>
      </c>
      <c r="K249" s="206" t="s">
        <v>316</v>
      </c>
    </row>
    <row r="250" spans="1:11" ht="23.25" customHeight="1" x14ac:dyDescent="0.25">
      <c r="A250" s="882" t="s">
        <v>188</v>
      </c>
      <c r="B250" s="882"/>
      <c r="C250" s="129" t="s">
        <v>189</v>
      </c>
      <c r="D250" s="18" t="s">
        <v>121</v>
      </c>
      <c r="E250" s="206" t="s">
        <v>316</v>
      </c>
      <c r="F250" s="206" t="s">
        <v>316</v>
      </c>
      <c r="G250" s="206" t="s">
        <v>316</v>
      </c>
      <c r="H250" s="353"/>
      <c r="I250" s="206" t="s">
        <v>316</v>
      </c>
      <c r="J250" s="206" t="s">
        <v>316</v>
      </c>
      <c r="K250" s="206" t="s">
        <v>316</v>
      </c>
    </row>
    <row r="251" spans="1:11" ht="23.25" customHeight="1" thickBot="1" x14ac:dyDescent="0.3">
      <c r="A251" s="883" t="s">
        <v>190</v>
      </c>
      <c r="B251" s="883"/>
      <c r="C251" s="132" t="s">
        <v>191</v>
      </c>
      <c r="D251" s="133" t="s">
        <v>121</v>
      </c>
      <c r="E251" s="132">
        <v>178</v>
      </c>
      <c r="F251" s="358">
        <v>1331</v>
      </c>
      <c r="G251" s="671">
        <v>243.24</v>
      </c>
      <c r="H251" s="358"/>
      <c r="I251" s="358">
        <v>181</v>
      </c>
      <c r="J251" s="358">
        <v>1402</v>
      </c>
      <c r="K251" s="671">
        <v>247.97</v>
      </c>
    </row>
    <row r="252" spans="1:11" ht="23.25" customHeight="1" thickTop="1" x14ac:dyDescent="0.65">
      <c r="A252" s="608"/>
      <c r="B252" s="608"/>
      <c r="C252" s="116"/>
      <c r="D252" s="116"/>
      <c r="E252" s="115"/>
      <c r="F252" s="115"/>
      <c r="G252" s="115"/>
      <c r="H252" s="115"/>
      <c r="I252" s="115"/>
      <c r="J252" s="115"/>
      <c r="K252" s="117"/>
    </row>
    <row r="253" spans="1:11" ht="23.25" customHeight="1" x14ac:dyDescent="0.25">
      <c r="A253" s="814" t="s">
        <v>459</v>
      </c>
      <c r="B253" s="814"/>
      <c r="C253" s="814"/>
      <c r="D253" s="814"/>
      <c r="E253" s="814"/>
      <c r="F253" s="814"/>
      <c r="G253" s="814"/>
      <c r="H253" s="814"/>
      <c r="I253" s="814"/>
      <c r="J253" s="814"/>
      <c r="K253" s="814"/>
    </row>
    <row r="254" spans="1:11" ht="23.25" customHeight="1" x14ac:dyDescent="0.25">
      <c r="A254" s="814" t="s">
        <v>86</v>
      </c>
      <c r="B254" s="814"/>
      <c r="C254" s="814"/>
      <c r="D254" s="814"/>
      <c r="E254" s="814"/>
      <c r="F254" s="814"/>
      <c r="G254" s="814"/>
      <c r="H254" s="814"/>
      <c r="I254" s="814"/>
      <c r="J254" s="814"/>
      <c r="K254" s="814"/>
    </row>
    <row r="255" spans="1:11" ht="23.25" customHeight="1" thickBot="1" x14ac:dyDescent="0.3">
      <c r="A255" s="795" t="s">
        <v>490</v>
      </c>
      <c r="B255" s="795"/>
      <c r="C255" s="795"/>
      <c r="D255" s="795"/>
      <c r="E255" s="795"/>
      <c r="F255" s="795"/>
      <c r="G255" s="795"/>
      <c r="H255" s="795"/>
      <c r="I255" s="795"/>
      <c r="J255" s="795"/>
      <c r="K255" s="795"/>
    </row>
    <row r="256" spans="1:11" ht="23.25" customHeight="1" thickTop="1" x14ac:dyDescent="0.25">
      <c r="A256" s="761" t="s">
        <v>201</v>
      </c>
      <c r="B256" s="761"/>
      <c r="C256" s="661"/>
      <c r="D256" s="761" t="s">
        <v>170</v>
      </c>
      <c r="E256" s="796" t="s">
        <v>272</v>
      </c>
      <c r="F256" s="796"/>
      <c r="G256" s="796"/>
      <c r="H256" s="663"/>
      <c r="I256" s="796" t="s">
        <v>113</v>
      </c>
      <c r="J256" s="796"/>
      <c r="K256" s="796"/>
    </row>
    <row r="257" spans="1:11" ht="23.25" customHeight="1" x14ac:dyDescent="0.25">
      <c r="A257" s="762"/>
      <c r="B257" s="762"/>
      <c r="C257" s="664"/>
      <c r="D257" s="762"/>
      <c r="E257" s="181" t="s">
        <v>97</v>
      </c>
      <c r="F257" s="181" t="s">
        <v>98</v>
      </c>
      <c r="G257" s="181" t="s">
        <v>114</v>
      </c>
      <c r="H257" s="175"/>
      <c r="I257" s="181" t="s">
        <v>97</v>
      </c>
      <c r="J257" s="181" t="s">
        <v>98</v>
      </c>
      <c r="K257" s="181" t="s">
        <v>114</v>
      </c>
    </row>
    <row r="258" spans="1:11" ht="23.25" customHeight="1" x14ac:dyDescent="0.25">
      <c r="A258" s="884" t="s">
        <v>120</v>
      </c>
      <c r="B258" s="884"/>
      <c r="C258" s="128" t="s">
        <v>171</v>
      </c>
      <c r="D258" s="18" t="s">
        <v>121</v>
      </c>
      <c r="E258" s="335">
        <v>11</v>
      </c>
      <c r="F258" s="335">
        <v>3000</v>
      </c>
      <c r="G258" s="337">
        <v>166.8</v>
      </c>
      <c r="H258" s="336"/>
      <c r="I258" s="335">
        <v>2</v>
      </c>
      <c r="J258" s="335">
        <v>950</v>
      </c>
      <c r="K258" s="337">
        <v>43.4</v>
      </c>
    </row>
    <row r="259" spans="1:11" ht="23.25" customHeight="1" x14ac:dyDescent="0.25">
      <c r="A259" s="881" t="s">
        <v>172</v>
      </c>
      <c r="B259" s="881"/>
      <c r="C259" s="129" t="s">
        <v>173</v>
      </c>
      <c r="D259" s="18" t="s">
        <v>121</v>
      </c>
      <c r="E259" s="338">
        <v>350</v>
      </c>
      <c r="F259" s="338">
        <v>1244</v>
      </c>
      <c r="G259" s="339">
        <v>613.11</v>
      </c>
      <c r="H259" s="340"/>
      <c r="I259" s="338">
        <v>350</v>
      </c>
      <c r="J259" s="338">
        <v>1240</v>
      </c>
      <c r="K259" s="338">
        <v>615</v>
      </c>
    </row>
    <row r="260" spans="1:11" ht="23.25" customHeight="1" x14ac:dyDescent="0.25">
      <c r="A260" s="881" t="s">
        <v>123</v>
      </c>
      <c r="B260" s="881"/>
      <c r="C260" s="129" t="s">
        <v>174</v>
      </c>
      <c r="D260" s="18" t="s">
        <v>121</v>
      </c>
      <c r="E260" s="338">
        <v>144</v>
      </c>
      <c r="F260" s="338">
        <v>172</v>
      </c>
      <c r="G260" s="340">
        <v>159.1</v>
      </c>
      <c r="H260" s="340"/>
      <c r="I260" s="338">
        <v>140</v>
      </c>
      <c r="J260" s="338">
        <v>174</v>
      </c>
      <c r="K260" s="338">
        <v>158</v>
      </c>
    </row>
    <row r="261" spans="1:11" ht="23.25" customHeight="1" x14ac:dyDescent="0.25">
      <c r="A261" s="885" t="s">
        <v>175</v>
      </c>
      <c r="B261" s="885"/>
      <c r="C261" s="129" t="s">
        <v>176</v>
      </c>
      <c r="D261" s="18" t="s">
        <v>121</v>
      </c>
      <c r="E261" s="338">
        <v>884</v>
      </c>
      <c r="F261" s="338">
        <v>2658</v>
      </c>
      <c r="G261" s="338">
        <v>1312</v>
      </c>
      <c r="H261" s="340"/>
      <c r="I261" s="338">
        <v>862</v>
      </c>
      <c r="J261" s="338">
        <v>2712</v>
      </c>
      <c r="K261" s="338">
        <v>1314</v>
      </c>
    </row>
    <row r="262" spans="1:11" ht="23.25" customHeight="1" x14ac:dyDescent="0.25">
      <c r="A262" s="881" t="s">
        <v>177</v>
      </c>
      <c r="B262" s="881"/>
      <c r="C262" s="129" t="s">
        <v>122</v>
      </c>
      <c r="D262" s="182"/>
      <c r="E262" s="338">
        <v>7</v>
      </c>
      <c r="F262" s="340">
        <v>8.5</v>
      </c>
      <c r="G262" s="339">
        <v>7.82</v>
      </c>
      <c r="H262" s="339"/>
      <c r="I262" s="338">
        <v>7</v>
      </c>
      <c r="J262" s="340">
        <v>8.8000000000000007</v>
      </c>
      <c r="K262" s="339">
        <v>7.72</v>
      </c>
    </row>
    <row r="263" spans="1:11" ht="23.25" customHeight="1" x14ac:dyDescent="0.25">
      <c r="A263" s="881" t="s">
        <v>178</v>
      </c>
      <c r="B263" s="881"/>
      <c r="C263" s="129" t="s">
        <v>179</v>
      </c>
      <c r="D263" s="18" t="s">
        <v>121</v>
      </c>
      <c r="E263" s="344">
        <v>160</v>
      </c>
      <c r="F263" s="344">
        <v>570</v>
      </c>
      <c r="G263" s="345">
        <v>290.81</v>
      </c>
      <c r="H263" s="339"/>
      <c r="I263" s="338">
        <v>160</v>
      </c>
      <c r="J263" s="338">
        <v>580</v>
      </c>
      <c r="K263" s="338">
        <v>292</v>
      </c>
    </row>
    <row r="264" spans="1:11" ht="23.25" customHeight="1" x14ac:dyDescent="0.25">
      <c r="A264" s="881" t="s">
        <v>180</v>
      </c>
      <c r="B264" s="881"/>
      <c r="C264" s="129" t="s">
        <v>181</v>
      </c>
      <c r="D264" s="18" t="s">
        <v>121</v>
      </c>
      <c r="E264" s="338">
        <v>73</v>
      </c>
      <c r="F264" s="338">
        <v>288</v>
      </c>
      <c r="G264" s="340">
        <v>145.6</v>
      </c>
      <c r="H264" s="342"/>
      <c r="I264" s="338">
        <v>72</v>
      </c>
      <c r="J264" s="338">
        <v>290</v>
      </c>
      <c r="K264" s="338">
        <v>146</v>
      </c>
    </row>
    <row r="265" spans="1:11" ht="23.25" customHeight="1" x14ac:dyDescent="0.25">
      <c r="A265" s="881" t="s">
        <v>182</v>
      </c>
      <c r="B265" s="881"/>
      <c r="C265" s="129" t="s">
        <v>183</v>
      </c>
      <c r="D265" s="18" t="s">
        <v>121</v>
      </c>
      <c r="E265" s="338">
        <v>28</v>
      </c>
      <c r="F265" s="338">
        <v>132</v>
      </c>
      <c r="G265" s="339">
        <v>60.63</v>
      </c>
      <c r="H265" s="340"/>
      <c r="I265" s="338">
        <v>26</v>
      </c>
      <c r="J265" s="338">
        <v>133</v>
      </c>
      <c r="K265" s="340">
        <v>60.9</v>
      </c>
    </row>
    <row r="266" spans="1:11" ht="23.25" customHeight="1" x14ac:dyDescent="0.25">
      <c r="A266" s="881" t="s">
        <v>184</v>
      </c>
      <c r="B266" s="881"/>
      <c r="C266" s="130" t="s">
        <v>185</v>
      </c>
      <c r="D266" s="131" t="s">
        <v>134</v>
      </c>
      <c r="E266" s="338">
        <v>1370</v>
      </c>
      <c r="F266" s="338">
        <v>3130</v>
      </c>
      <c r="G266" s="338">
        <v>1956</v>
      </c>
      <c r="H266" s="343"/>
      <c r="I266" s="344">
        <v>1376</v>
      </c>
      <c r="J266" s="344">
        <v>3210</v>
      </c>
      <c r="K266" s="344">
        <v>1962</v>
      </c>
    </row>
    <row r="267" spans="1:11" ht="23.25" customHeight="1" x14ac:dyDescent="0.25">
      <c r="A267" s="882" t="s">
        <v>186</v>
      </c>
      <c r="B267" s="882"/>
      <c r="C267" s="129" t="s">
        <v>187</v>
      </c>
      <c r="D267" s="18" t="s">
        <v>121</v>
      </c>
      <c r="E267" s="206" t="s">
        <v>316</v>
      </c>
      <c r="F267" s="206" t="s">
        <v>316</v>
      </c>
      <c r="G267" s="206" t="s">
        <v>316</v>
      </c>
      <c r="H267" s="206"/>
      <c r="I267" s="206" t="s">
        <v>316</v>
      </c>
      <c r="J267" s="206" t="s">
        <v>316</v>
      </c>
      <c r="K267" s="206" t="s">
        <v>316</v>
      </c>
    </row>
    <row r="268" spans="1:11" ht="23.25" customHeight="1" x14ac:dyDescent="0.25">
      <c r="A268" s="882" t="s">
        <v>188</v>
      </c>
      <c r="B268" s="882"/>
      <c r="C268" s="129" t="s">
        <v>189</v>
      </c>
      <c r="D268" s="18" t="s">
        <v>121</v>
      </c>
      <c r="E268" s="206" t="s">
        <v>316</v>
      </c>
      <c r="F268" s="206" t="s">
        <v>316</v>
      </c>
      <c r="G268" s="206" t="s">
        <v>316</v>
      </c>
      <c r="H268" s="206"/>
      <c r="I268" s="206" t="s">
        <v>316</v>
      </c>
      <c r="J268" s="206" t="s">
        <v>316</v>
      </c>
      <c r="K268" s="206" t="s">
        <v>316</v>
      </c>
    </row>
    <row r="269" spans="1:11" ht="23.25" customHeight="1" thickBot="1" x14ac:dyDescent="0.3">
      <c r="A269" s="883" t="s">
        <v>190</v>
      </c>
      <c r="B269" s="883"/>
      <c r="C269" s="132" t="s">
        <v>191</v>
      </c>
      <c r="D269" s="133" t="s">
        <v>121</v>
      </c>
      <c r="E269" s="346">
        <v>250</v>
      </c>
      <c r="F269" s="346">
        <v>1136</v>
      </c>
      <c r="G269" s="679">
        <v>504.61</v>
      </c>
      <c r="H269" s="347"/>
      <c r="I269" s="132">
        <v>253</v>
      </c>
      <c r="J269" s="358">
        <v>1140</v>
      </c>
      <c r="K269" s="132">
        <v>504</v>
      </c>
    </row>
    <row r="270" spans="1:11" ht="23.25" customHeight="1" thickTop="1" x14ac:dyDescent="0.25">
      <c r="A270" s="608" t="s">
        <v>317</v>
      </c>
      <c r="B270" s="608"/>
      <c r="C270" s="608"/>
      <c r="D270" s="608"/>
      <c r="E270" s="98"/>
      <c r="F270" s="98"/>
      <c r="G270" s="98"/>
      <c r="H270" s="98"/>
      <c r="I270" s="98"/>
      <c r="J270" s="98"/>
      <c r="K270" s="150" t="s">
        <v>91</v>
      </c>
    </row>
    <row r="271" spans="1:11" ht="23.25" customHeight="1" x14ac:dyDescent="0.25">
      <c r="A271" s="844" t="s">
        <v>324</v>
      </c>
      <c r="B271" s="844"/>
      <c r="C271" s="844"/>
      <c r="D271" s="844"/>
      <c r="E271" s="844"/>
      <c r="F271" s="844"/>
      <c r="G271" s="844"/>
      <c r="H271" s="844"/>
      <c r="I271" s="844"/>
      <c r="J271" s="844"/>
    </row>
    <row r="272" spans="1:11" ht="23.25" customHeight="1" x14ac:dyDescent="0.25">
      <c r="A272" s="731"/>
      <c r="B272" s="731"/>
      <c r="C272" s="731"/>
      <c r="D272" s="731"/>
      <c r="E272" s="731"/>
      <c r="F272" s="731"/>
      <c r="G272" s="731"/>
      <c r="H272" s="731"/>
      <c r="I272" s="731"/>
      <c r="J272" s="731"/>
    </row>
    <row r="273" spans="1:11" ht="23.25" customHeight="1" x14ac:dyDescent="0.25">
      <c r="A273" s="660" t="s">
        <v>228</v>
      </c>
      <c r="B273" s="660"/>
      <c r="C273" s="660"/>
      <c r="D273" s="660"/>
      <c r="E273" s="660"/>
      <c r="F273" s="660"/>
      <c r="G273" s="152"/>
      <c r="H273" s="152"/>
      <c r="I273" s="152"/>
      <c r="J273" s="152"/>
      <c r="K273" s="535">
        <v>48</v>
      </c>
    </row>
    <row r="274" spans="1:11" ht="23.25" customHeight="1" x14ac:dyDescent="0.25">
      <c r="A274" s="814" t="s">
        <v>459</v>
      </c>
      <c r="B274" s="814"/>
      <c r="C274" s="814"/>
      <c r="D274" s="814"/>
      <c r="E274" s="814"/>
      <c r="F274" s="814"/>
      <c r="G274" s="814"/>
      <c r="H274" s="814"/>
      <c r="I274" s="814"/>
      <c r="J274" s="814"/>
      <c r="K274" s="814"/>
    </row>
    <row r="275" spans="1:11" ht="23.25" customHeight="1" x14ac:dyDescent="0.25">
      <c r="A275" s="814" t="s">
        <v>87</v>
      </c>
      <c r="B275" s="814"/>
      <c r="C275" s="814"/>
      <c r="D275" s="814"/>
      <c r="E275" s="814"/>
      <c r="F275" s="814"/>
      <c r="G275" s="814"/>
      <c r="H275" s="814"/>
      <c r="I275" s="814"/>
      <c r="J275" s="814"/>
      <c r="K275" s="814"/>
    </row>
    <row r="276" spans="1:11" ht="23.25" customHeight="1" thickBot="1" x14ac:dyDescent="0.3">
      <c r="A276" s="795" t="s">
        <v>490</v>
      </c>
      <c r="B276" s="795"/>
      <c r="C276" s="795"/>
      <c r="D276" s="795"/>
      <c r="E276" s="795"/>
      <c r="F276" s="795"/>
      <c r="G276" s="795"/>
      <c r="H276" s="795"/>
      <c r="I276" s="795"/>
      <c r="J276" s="795"/>
      <c r="K276" s="795"/>
    </row>
    <row r="277" spans="1:11" ht="23.25" customHeight="1" thickTop="1" x14ac:dyDescent="0.25">
      <c r="A277" s="761" t="s">
        <v>201</v>
      </c>
      <c r="B277" s="761"/>
      <c r="C277" s="661"/>
      <c r="D277" s="761" t="s">
        <v>170</v>
      </c>
      <c r="E277" s="796" t="s">
        <v>272</v>
      </c>
      <c r="F277" s="796"/>
      <c r="G277" s="796"/>
      <c r="H277" s="663"/>
      <c r="I277" s="796" t="s">
        <v>113</v>
      </c>
      <c r="J277" s="796"/>
      <c r="K277" s="796"/>
    </row>
    <row r="278" spans="1:11" ht="23.25" customHeight="1" x14ac:dyDescent="0.25">
      <c r="A278" s="762"/>
      <c r="B278" s="762"/>
      <c r="C278" s="664"/>
      <c r="D278" s="762"/>
      <c r="E278" s="181" t="s">
        <v>97</v>
      </c>
      <c r="F278" s="181" t="s">
        <v>98</v>
      </c>
      <c r="G278" s="181" t="s">
        <v>114</v>
      </c>
      <c r="H278" s="175"/>
      <c r="I278" s="181" t="s">
        <v>97</v>
      </c>
      <c r="J278" s="181" t="s">
        <v>98</v>
      </c>
      <c r="K278" s="181" t="s">
        <v>114</v>
      </c>
    </row>
    <row r="279" spans="1:11" ht="23.25" customHeight="1" x14ac:dyDescent="0.25">
      <c r="A279" s="884" t="s">
        <v>120</v>
      </c>
      <c r="B279" s="884"/>
      <c r="C279" s="128" t="s">
        <v>171</v>
      </c>
      <c r="D279" s="295" t="s">
        <v>121</v>
      </c>
      <c r="E279" s="334">
        <v>2.1</v>
      </c>
      <c r="F279" s="333">
        <v>87</v>
      </c>
      <c r="G279" s="332">
        <v>15.15</v>
      </c>
      <c r="H279" s="332"/>
      <c r="I279" s="129">
        <v>1</v>
      </c>
      <c r="J279" s="129">
        <v>44</v>
      </c>
      <c r="K279" s="129">
        <v>5.94</v>
      </c>
    </row>
    <row r="280" spans="1:11" ht="23.25" customHeight="1" x14ac:dyDescent="0.25">
      <c r="A280" s="881" t="s">
        <v>172</v>
      </c>
      <c r="B280" s="881"/>
      <c r="C280" s="129" t="s">
        <v>173</v>
      </c>
      <c r="D280" s="18" t="s">
        <v>121</v>
      </c>
      <c r="E280" s="331">
        <v>400</v>
      </c>
      <c r="F280" s="331">
        <v>2320</v>
      </c>
      <c r="G280" s="356">
        <v>868.9</v>
      </c>
      <c r="H280" s="331"/>
      <c r="I280" s="129">
        <v>400</v>
      </c>
      <c r="J280" s="331">
        <v>2296</v>
      </c>
      <c r="K280" s="129">
        <v>862.36</v>
      </c>
    </row>
    <row r="281" spans="1:11" ht="23.25" customHeight="1" x14ac:dyDescent="0.25">
      <c r="A281" s="881" t="s">
        <v>123</v>
      </c>
      <c r="B281" s="881"/>
      <c r="C281" s="129" t="s">
        <v>174</v>
      </c>
      <c r="D281" s="18" t="s">
        <v>121</v>
      </c>
      <c r="E281" s="129">
        <v>106</v>
      </c>
      <c r="F281" s="129">
        <v>250</v>
      </c>
      <c r="G281" s="129">
        <v>152.18</v>
      </c>
      <c r="H281" s="129"/>
      <c r="I281" s="330">
        <v>100</v>
      </c>
      <c r="J281" s="330">
        <v>250</v>
      </c>
      <c r="K281" s="668">
        <v>147.18</v>
      </c>
    </row>
    <row r="282" spans="1:11" ht="23.25" customHeight="1" x14ac:dyDescent="0.25">
      <c r="A282" s="885" t="s">
        <v>175</v>
      </c>
      <c r="B282" s="885"/>
      <c r="C282" s="129" t="s">
        <v>176</v>
      </c>
      <c r="D282" s="18" t="s">
        <v>121</v>
      </c>
      <c r="E282" s="331">
        <v>668</v>
      </c>
      <c r="F282" s="331">
        <v>8042</v>
      </c>
      <c r="G282" s="331">
        <v>2092</v>
      </c>
      <c r="H282" s="331"/>
      <c r="I282" s="129">
        <v>638</v>
      </c>
      <c r="J282" s="331">
        <v>8084</v>
      </c>
      <c r="K282" s="129">
        <v>2072</v>
      </c>
    </row>
    <row r="283" spans="1:11" ht="23.25" customHeight="1" x14ac:dyDescent="0.25">
      <c r="A283" s="881" t="s">
        <v>177</v>
      </c>
      <c r="B283" s="881"/>
      <c r="C283" s="129" t="s">
        <v>122</v>
      </c>
      <c r="D283" s="182"/>
      <c r="E283" s="354">
        <v>7.19</v>
      </c>
      <c r="F283" s="354">
        <v>8.41</v>
      </c>
      <c r="G283" s="353">
        <v>7.8</v>
      </c>
      <c r="H283" s="354"/>
      <c r="I283" s="129">
        <v>6.97</v>
      </c>
      <c r="J283" s="129">
        <v>8.4</v>
      </c>
      <c r="K283" s="129">
        <v>7.64</v>
      </c>
    </row>
    <row r="284" spans="1:11" ht="23.25" customHeight="1" x14ac:dyDescent="0.25">
      <c r="A284" s="881" t="s">
        <v>178</v>
      </c>
      <c r="B284" s="881"/>
      <c r="C284" s="129" t="s">
        <v>179</v>
      </c>
      <c r="D284" s="18" t="s">
        <v>121</v>
      </c>
      <c r="E284" s="331">
        <v>138</v>
      </c>
      <c r="F284" s="331">
        <v>3050</v>
      </c>
      <c r="G284" s="492">
        <v>607.89</v>
      </c>
      <c r="H284" s="331"/>
      <c r="I284" s="129">
        <v>134</v>
      </c>
      <c r="J284" s="331">
        <v>3080</v>
      </c>
      <c r="K284" s="129">
        <v>601.95000000000005</v>
      </c>
    </row>
    <row r="285" spans="1:11" ht="23.25" customHeight="1" x14ac:dyDescent="0.25">
      <c r="A285" s="881" t="s">
        <v>180</v>
      </c>
      <c r="B285" s="881"/>
      <c r="C285" s="129" t="s">
        <v>181</v>
      </c>
      <c r="D285" s="18" t="s">
        <v>121</v>
      </c>
      <c r="E285" s="359">
        <v>80</v>
      </c>
      <c r="F285" s="493">
        <v>470</v>
      </c>
      <c r="G285" s="359">
        <v>177.26</v>
      </c>
      <c r="H285" s="129"/>
      <c r="I285" s="338">
        <v>80</v>
      </c>
      <c r="J285" s="338">
        <v>464</v>
      </c>
      <c r="K285" s="339">
        <v>175.56</v>
      </c>
    </row>
    <row r="286" spans="1:11" ht="23.25" customHeight="1" x14ac:dyDescent="0.25">
      <c r="A286" s="881" t="s">
        <v>182</v>
      </c>
      <c r="B286" s="881"/>
      <c r="C286" s="129" t="s">
        <v>183</v>
      </c>
      <c r="D286" s="18" t="s">
        <v>121</v>
      </c>
      <c r="E286" s="129">
        <v>47</v>
      </c>
      <c r="F286" s="129">
        <v>279</v>
      </c>
      <c r="G286" s="129">
        <v>103.96</v>
      </c>
      <c r="H286" s="129"/>
      <c r="I286" s="338">
        <v>47</v>
      </c>
      <c r="J286" s="338">
        <v>277</v>
      </c>
      <c r="K286" s="339">
        <v>103.21</v>
      </c>
    </row>
    <row r="287" spans="1:11" ht="23.25" customHeight="1" x14ac:dyDescent="0.25">
      <c r="A287" s="881" t="s">
        <v>184</v>
      </c>
      <c r="B287" s="881"/>
      <c r="C287" s="130" t="s">
        <v>185</v>
      </c>
      <c r="D287" s="131" t="s">
        <v>134</v>
      </c>
      <c r="E287" s="331">
        <v>1085</v>
      </c>
      <c r="F287" s="331">
        <v>11977</v>
      </c>
      <c r="G287" s="492">
        <v>3348.95</v>
      </c>
      <c r="H287" s="330"/>
      <c r="I287" s="331">
        <v>1015</v>
      </c>
      <c r="J287" s="331">
        <v>12109</v>
      </c>
      <c r="K287" s="356">
        <v>3318.5</v>
      </c>
    </row>
    <row r="288" spans="1:11" ht="23.25" customHeight="1" x14ac:dyDescent="0.25">
      <c r="A288" s="882" t="s">
        <v>186</v>
      </c>
      <c r="B288" s="882"/>
      <c r="C288" s="129" t="s">
        <v>187</v>
      </c>
      <c r="D288" s="18" t="s">
        <v>121</v>
      </c>
      <c r="E288" s="129">
        <v>71</v>
      </c>
      <c r="F288" s="331">
        <v>2001</v>
      </c>
      <c r="G288" s="492">
        <v>395.51</v>
      </c>
      <c r="H288" s="331"/>
      <c r="I288" s="331">
        <v>64</v>
      </c>
      <c r="J288" s="331">
        <v>2018</v>
      </c>
      <c r="K288" s="356">
        <v>390.1</v>
      </c>
    </row>
    <row r="289" spans="1:11" ht="23.25" customHeight="1" x14ac:dyDescent="0.25">
      <c r="A289" s="882" t="s">
        <v>188</v>
      </c>
      <c r="B289" s="882"/>
      <c r="C289" s="129" t="s">
        <v>189</v>
      </c>
      <c r="D289" s="18" t="s">
        <v>121</v>
      </c>
      <c r="E289" s="129">
        <v>2.7</v>
      </c>
      <c r="F289" s="353">
        <v>19.399999999999999</v>
      </c>
      <c r="G289" s="354">
        <v>8.35</v>
      </c>
      <c r="H289" s="354"/>
      <c r="I289" s="654">
        <v>2.5</v>
      </c>
      <c r="J289" s="720">
        <v>19</v>
      </c>
      <c r="K289" s="655">
        <v>8.06</v>
      </c>
    </row>
    <row r="290" spans="1:11" ht="23.25" customHeight="1" thickBot="1" x14ac:dyDescent="0.3">
      <c r="A290" s="883" t="s">
        <v>190</v>
      </c>
      <c r="B290" s="883"/>
      <c r="C290" s="132" t="s">
        <v>191</v>
      </c>
      <c r="D290" s="133" t="s">
        <v>121</v>
      </c>
      <c r="E290" s="132">
        <v>224</v>
      </c>
      <c r="F290" s="358">
        <v>2158</v>
      </c>
      <c r="G290" s="671">
        <v>687.69</v>
      </c>
      <c r="H290" s="358"/>
      <c r="I290" s="358">
        <v>228</v>
      </c>
      <c r="J290" s="358">
        <v>2127</v>
      </c>
      <c r="K290" s="672">
        <v>680.8</v>
      </c>
    </row>
    <row r="291" spans="1:11" ht="23.25" customHeight="1" thickTop="1" x14ac:dyDescent="0.65">
      <c r="A291" s="829" t="s">
        <v>324</v>
      </c>
      <c r="B291" s="829"/>
      <c r="C291" s="829"/>
      <c r="D291" s="829"/>
      <c r="E291" s="829"/>
      <c r="F291" s="829"/>
      <c r="G291" s="829"/>
      <c r="H291" s="829"/>
      <c r="I291" s="829"/>
      <c r="J291" s="115"/>
      <c r="K291" s="117"/>
    </row>
    <row r="292" spans="1:11" ht="23.25" customHeight="1" x14ac:dyDescent="0.25">
      <c r="A292" s="602"/>
      <c r="B292" s="602"/>
      <c r="C292" s="602"/>
      <c r="D292" s="602"/>
      <c r="E292" s="602"/>
      <c r="F292" s="602"/>
      <c r="G292" s="602"/>
      <c r="H292" s="602"/>
      <c r="I292" s="602"/>
      <c r="J292" s="602"/>
      <c r="K292" s="602"/>
    </row>
    <row r="293" spans="1:11" ht="23.25" customHeight="1" x14ac:dyDescent="0.25">
      <c r="A293" s="602"/>
      <c r="B293" s="602"/>
      <c r="C293" s="602"/>
      <c r="D293" s="602"/>
      <c r="E293" s="602"/>
      <c r="F293" s="602"/>
      <c r="G293" s="602"/>
      <c r="H293" s="602"/>
      <c r="I293" s="602"/>
      <c r="J293" s="602"/>
      <c r="K293" s="602"/>
    </row>
    <row r="294" spans="1:11" ht="23.25" customHeight="1" x14ac:dyDescent="0.25">
      <c r="A294" s="662"/>
      <c r="B294" s="662"/>
      <c r="C294" s="662"/>
      <c r="D294" s="662"/>
      <c r="E294" s="662"/>
      <c r="F294" s="662"/>
      <c r="G294" s="662"/>
      <c r="H294" s="662"/>
      <c r="I294" s="662"/>
      <c r="J294" s="662"/>
      <c r="K294" s="662"/>
    </row>
    <row r="295" spans="1:11" ht="23.25" customHeight="1" x14ac:dyDescent="0.25">
      <c r="A295" s="603"/>
      <c r="B295" s="603"/>
      <c r="C295" s="603"/>
      <c r="D295" s="604"/>
      <c r="E295" s="604"/>
      <c r="F295" s="604"/>
      <c r="G295" s="604"/>
      <c r="H295" s="604"/>
      <c r="I295" s="604"/>
      <c r="J295" s="604"/>
      <c r="K295" s="604"/>
    </row>
    <row r="296" spans="1:11" ht="23.25" customHeight="1" x14ac:dyDescent="0.25">
      <c r="A296" s="603"/>
      <c r="B296" s="603"/>
      <c r="C296" s="603"/>
      <c r="D296" s="604"/>
      <c r="E296" s="226"/>
      <c r="F296" s="226"/>
      <c r="G296" s="226"/>
      <c r="H296" s="226"/>
      <c r="I296" s="226"/>
      <c r="J296" s="226"/>
      <c r="K296" s="226"/>
    </row>
    <row r="297" spans="1:11" ht="23.25" customHeight="1" x14ac:dyDescent="0.25">
      <c r="A297" s="606"/>
      <c r="B297" s="606"/>
      <c r="C297" s="227"/>
      <c r="D297" s="20"/>
      <c r="E297" s="228"/>
      <c r="F297" s="228"/>
      <c r="G297" s="228"/>
      <c r="H297" s="228"/>
      <c r="I297" s="228"/>
      <c r="J297" s="228"/>
      <c r="K297" s="228"/>
    </row>
    <row r="298" spans="1:11" ht="23.25" customHeight="1" x14ac:dyDescent="0.25">
      <c r="A298" s="606"/>
      <c r="B298" s="606"/>
      <c r="C298" s="227"/>
      <c r="D298" s="20"/>
      <c r="E298" s="228"/>
      <c r="F298" s="228"/>
      <c r="G298" s="228"/>
      <c r="H298" s="228"/>
      <c r="I298" s="228"/>
      <c r="J298" s="228"/>
      <c r="K298" s="228"/>
    </row>
    <row r="299" spans="1:11" ht="23.25" customHeight="1" x14ac:dyDescent="0.25">
      <c r="A299" s="606"/>
      <c r="B299" s="606"/>
      <c r="C299" s="227"/>
      <c r="D299" s="20"/>
      <c r="E299" s="228"/>
      <c r="F299" s="228"/>
      <c r="G299" s="228"/>
      <c r="H299" s="228"/>
      <c r="I299" s="228"/>
      <c r="J299" s="228"/>
      <c r="K299" s="228"/>
    </row>
    <row r="300" spans="1:11" ht="23.25" customHeight="1" x14ac:dyDescent="0.25">
      <c r="A300" s="607"/>
      <c r="B300" s="607"/>
      <c r="C300" s="227"/>
      <c r="D300" s="20"/>
      <c r="E300" s="228"/>
      <c r="F300" s="228"/>
      <c r="G300" s="228"/>
      <c r="H300" s="228"/>
      <c r="I300" s="228"/>
      <c r="J300" s="228"/>
      <c r="K300" s="228"/>
    </row>
    <row r="301" spans="1:11" ht="23.25" customHeight="1" x14ac:dyDescent="0.25">
      <c r="A301" s="606"/>
      <c r="B301" s="606"/>
      <c r="C301" s="227"/>
      <c r="D301" s="20"/>
      <c r="E301" s="228"/>
      <c r="F301" s="228"/>
      <c r="G301" s="228"/>
      <c r="H301" s="228"/>
      <c r="I301" s="228"/>
      <c r="J301" s="228"/>
      <c r="K301" s="228"/>
    </row>
    <row r="302" spans="1:11" ht="23.25" customHeight="1" x14ac:dyDescent="0.25">
      <c r="A302" s="606"/>
      <c r="B302" s="606"/>
      <c r="C302" s="227"/>
      <c r="D302" s="20"/>
      <c r="E302" s="228"/>
      <c r="F302" s="228"/>
      <c r="G302" s="228"/>
      <c r="H302" s="228"/>
      <c r="I302" s="228"/>
      <c r="J302" s="228"/>
      <c r="K302" s="228"/>
    </row>
    <row r="303" spans="1:11" ht="23.25" customHeight="1" x14ac:dyDescent="0.25">
      <c r="A303" s="606"/>
      <c r="B303" s="606"/>
      <c r="C303" s="227"/>
      <c r="D303" s="20"/>
      <c r="E303" s="228"/>
      <c r="F303" s="228"/>
      <c r="G303" s="228"/>
      <c r="H303" s="228"/>
      <c r="I303" s="228"/>
      <c r="J303" s="228"/>
      <c r="K303" s="228"/>
    </row>
    <row r="304" spans="1:11" ht="23.25" customHeight="1" x14ac:dyDescent="0.25">
      <c r="A304" s="606"/>
      <c r="B304" s="606"/>
      <c r="C304" s="227"/>
      <c r="D304" s="20"/>
      <c r="E304" s="228"/>
      <c r="F304" s="228"/>
      <c r="G304" s="228"/>
      <c r="H304" s="228"/>
      <c r="I304" s="228"/>
      <c r="J304" s="228"/>
      <c r="K304" s="228"/>
    </row>
    <row r="305" spans="1:11" ht="23.25" customHeight="1" x14ac:dyDescent="0.25">
      <c r="A305" s="606"/>
      <c r="B305" s="606"/>
      <c r="C305" s="227"/>
      <c r="D305" s="20"/>
      <c r="E305" s="228"/>
      <c r="F305" s="228"/>
      <c r="G305" s="228"/>
      <c r="H305" s="228"/>
      <c r="I305" s="228"/>
      <c r="J305" s="228"/>
      <c r="K305" s="228"/>
    </row>
    <row r="306" spans="1:11" ht="23.25" customHeight="1" x14ac:dyDescent="0.25">
      <c r="A306" s="605"/>
      <c r="B306" s="605"/>
      <c r="C306" s="227"/>
      <c r="D306" s="20"/>
      <c r="E306" s="228"/>
      <c r="F306" s="228"/>
      <c r="G306" s="228"/>
      <c r="H306" s="228"/>
      <c r="I306" s="228"/>
      <c r="J306" s="228"/>
      <c r="K306" s="228"/>
    </row>
    <row r="307" spans="1:11" ht="23.25" customHeight="1" x14ac:dyDescent="0.25">
      <c r="A307" s="605"/>
      <c r="B307" s="605"/>
      <c r="C307" s="227"/>
      <c r="D307" s="20"/>
      <c r="E307" s="228"/>
      <c r="F307" s="228"/>
      <c r="G307" s="228"/>
      <c r="H307" s="228"/>
      <c r="I307" s="228"/>
      <c r="J307" s="228"/>
      <c r="K307" s="228"/>
    </row>
    <row r="308" spans="1:11" ht="23.25" customHeight="1" x14ac:dyDescent="0.25">
      <c r="A308" s="605"/>
      <c r="B308" s="605"/>
      <c r="C308" s="227"/>
      <c r="D308" s="20"/>
      <c r="E308" s="228"/>
      <c r="F308" s="228"/>
      <c r="G308" s="228"/>
      <c r="H308" s="228"/>
      <c r="I308" s="228"/>
      <c r="J308" s="228"/>
      <c r="K308" s="228"/>
    </row>
    <row r="309" spans="1:11" ht="23.25" customHeight="1" x14ac:dyDescent="0.25">
      <c r="A309" s="605"/>
      <c r="B309" s="605"/>
      <c r="C309" s="227"/>
      <c r="D309" s="20"/>
      <c r="E309" s="228"/>
      <c r="F309" s="228"/>
      <c r="G309" s="228"/>
      <c r="H309" s="228"/>
      <c r="I309" s="228"/>
      <c r="J309" s="228"/>
      <c r="K309" s="228"/>
    </row>
    <row r="310" spans="1:11" ht="23.25" customHeight="1" x14ac:dyDescent="0.25">
      <c r="A310" s="605"/>
      <c r="B310" s="605"/>
      <c r="C310" s="118"/>
      <c r="D310" s="119"/>
      <c r="E310" s="98"/>
      <c r="F310" s="98"/>
      <c r="G310" s="98"/>
      <c r="H310" s="98"/>
      <c r="I310" s="98"/>
      <c r="J310" s="98"/>
      <c r="K310" s="229"/>
    </row>
    <row r="311" spans="1:11" ht="23.25" customHeight="1" x14ac:dyDescent="0.25">
      <c r="J311" s="665"/>
    </row>
    <row r="312" spans="1:11" ht="23.25" customHeight="1" x14ac:dyDescent="0.25">
      <c r="A312" s="660" t="s">
        <v>228</v>
      </c>
      <c r="B312" s="660"/>
      <c r="C312" s="660"/>
      <c r="D312" s="660"/>
      <c r="E312" s="660"/>
      <c r="F312" s="660"/>
      <c r="G312" s="152"/>
      <c r="H312" s="152"/>
      <c r="I312" s="152"/>
      <c r="J312" s="152"/>
      <c r="K312" s="535">
        <v>49</v>
      </c>
    </row>
  </sheetData>
  <mergeCells count="290">
    <mergeCell ref="A22:B23"/>
    <mergeCell ref="D22:D23"/>
    <mergeCell ref="E22:G22"/>
    <mergeCell ref="I22:K22"/>
    <mergeCell ref="D178:D179"/>
    <mergeCell ref="E178:G178"/>
    <mergeCell ref="I178:K178"/>
    <mergeCell ref="A139:B140"/>
    <mergeCell ref="D139:D140"/>
    <mergeCell ref="E139:G139"/>
    <mergeCell ref="I139:K139"/>
    <mergeCell ref="D100:D101"/>
    <mergeCell ref="E100:G100"/>
    <mergeCell ref="I100:K100"/>
    <mergeCell ref="A82:B83"/>
    <mergeCell ref="D82:D83"/>
    <mergeCell ref="E82:G82"/>
    <mergeCell ref="I82:K82"/>
    <mergeCell ref="A121:B122"/>
    <mergeCell ref="D121:D122"/>
    <mergeCell ref="E121:G121"/>
    <mergeCell ref="I121:K121"/>
    <mergeCell ref="A160:B161"/>
    <mergeCell ref="D160:D161"/>
    <mergeCell ref="A199:B200"/>
    <mergeCell ref="D199:D200"/>
    <mergeCell ref="E199:G199"/>
    <mergeCell ref="I199:K199"/>
    <mergeCell ref="A238:B239"/>
    <mergeCell ref="D238:D239"/>
    <mergeCell ref="E238:G238"/>
    <mergeCell ref="I238:K238"/>
    <mergeCell ref="A277:B278"/>
    <mergeCell ref="D277:D278"/>
    <mergeCell ref="E277:G277"/>
    <mergeCell ref="I277:K277"/>
    <mergeCell ref="A256:B257"/>
    <mergeCell ref="D256:D257"/>
    <mergeCell ref="E256:G256"/>
    <mergeCell ref="I256:K256"/>
    <mergeCell ref="D217:D218"/>
    <mergeCell ref="E217:G217"/>
    <mergeCell ref="I217:K217"/>
    <mergeCell ref="A243:B243"/>
    <mergeCell ref="A244:B244"/>
    <mergeCell ref="A274:K274"/>
    <mergeCell ref="A276:K276"/>
    <mergeCell ref="A275:K275"/>
    <mergeCell ref="E160:G160"/>
    <mergeCell ref="I160:K160"/>
    <mergeCell ref="A283:B283"/>
    <mergeCell ref="A284:B284"/>
    <mergeCell ref="A285:B285"/>
    <mergeCell ref="A286:B286"/>
    <mergeCell ref="A287:B287"/>
    <mergeCell ref="A288:B288"/>
    <mergeCell ref="A289:B289"/>
    <mergeCell ref="A249:B249"/>
    <mergeCell ref="A250:B250"/>
    <mergeCell ref="A251:B25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40:B240"/>
    <mergeCell ref="A241:B241"/>
    <mergeCell ref="A242:B242"/>
    <mergeCell ref="A290:B290"/>
    <mergeCell ref="A263:B263"/>
    <mergeCell ref="A264:B264"/>
    <mergeCell ref="A265:B265"/>
    <mergeCell ref="A266:B266"/>
    <mergeCell ref="A267:B267"/>
    <mergeCell ref="A211:B211"/>
    <mergeCell ref="A212:B212"/>
    <mergeCell ref="A219:B219"/>
    <mergeCell ref="A268:B268"/>
    <mergeCell ref="A269:B269"/>
    <mergeCell ref="A279:B279"/>
    <mergeCell ref="A280:B280"/>
    <mergeCell ref="A281:B281"/>
    <mergeCell ref="A282:B282"/>
    <mergeCell ref="A258:B258"/>
    <mergeCell ref="A259:B259"/>
    <mergeCell ref="A260:B260"/>
    <mergeCell ref="A261:B261"/>
    <mergeCell ref="A262:B262"/>
    <mergeCell ref="A245:B245"/>
    <mergeCell ref="A246:B246"/>
    <mergeCell ref="A247:B247"/>
    <mergeCell ref="A248:B248"/>
    <mergeCell ref="A191:B191"/>
    <mergeCell ref="A182:B182"/>
    <mergeCell ref="A183:B183"/>
    <mergeCell ref="A184:B184"/>
    <mergeCell ref="A185:B185"/>
    <mergeCell ref="A186:B186"/>
    <mergeCell ref="A178:B179"/>
    <mergeCell ref="A169:B169"/>
    <mergeCell ref="A170:B170"/>
    <mergeCell ref="A171:B171"/>
    <mergeCell ref="A172:B172"/>
    <mergeCell ref="A173:B173"/>
    <mergeCell ref="A180:B180"/>
    <mergeCell ref="A181:B181"/>
    <mergeCell ref="A162:B162"/>
    <mergeCell ref="A163:B163"/>
    <mergeCell ref="A164:B164"/>
    <mergeCell ref="A165:B165"/>
    <mergeCell ref="A166:B166"/>
    <mergeCell ref="A141:B141"/>
    <mergeCell ref="A142:B142"/>
    <mergeCell ref="A143:B143"/>
    <mergeCell ref="A187:B187"/>
    <mergeCell ref="A146:B146"/>
    <mergeCell ref="A147:B147"/>
    <mergeCell ref="A148:B148"/>
    <mergeCell ref="A167:B167"/>
    <mergeCell ref="A168:B168"/>
    <mergeCell ref="A131:B131"/>
    <mergeCell ref="A132:B132"/>
    <mergeCell ref="A133:B133"/>
    <mergeCell ref="A134:B134"/>
    <mergeCell ref="A104:B104"/>
    <mergeCell ref="A105:B105"/>
    <mergeCell ref="A106:B106"/>
    <mergeCell ref="A107:B107"/>
    <mergeCell ref="A108:B108"/>
    <mergeCell ref="A112:B11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49:B149"/>
    <mergeCell ref="A150:B150"/>
    <mergeCell ref="A151:B151"/>
    <mergeCell ref="A152:B152"/>
    <mergeCell ref="A291:I291"/>
    <mergeCell ref="A79:K79"/>
    <mergeCell ref="A81:K81"/>
    <mergeCell ref="A17:B17"/>
    <mergeCell ref="A11:B11"/>
    <mergeCell ref="A12:B12"/>
    <mergeCell ref="A13:B13"/>
    <mergeCell ref="A14:B14"/>
    <mergeCell ref="A15:B15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254:K254"/>
    <mergeCell ref="A196:K196"/>
    <mergeCell ref="A198:K198"/>
    <mergeCell ref="A197:K197"/>
    <mergeCell ref="A236:K236"/>
    <mergeCell ref="A235:K235"/>
    <mergeCell ref="A237:K237"/>
    <mergeCell ref="A215:K215"/>
    <mergeCell ref="A175:K175"/>
    <mergeCell ref="A177:K177"/>
    <mergeCell ref="A176:K176"/>
    <mergeCell ref="A220:B220"/>
    <mergeCell ref="A221:B221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217:B218"/>
    <mergeCell ref="A188:B188"/>
    <mergeCell ref="A189:B189"/>
    <mergeCell ref="A190:B190"/>
    <mergeCell ref="A1:K1"/>
    <mergeCell ref="A3:K3"/>
    <mergeCell ref="A19:K19"/>
    <mergeCell ref="A2:K2"/>
    <mergeCell ref="A20:K20"/>
    <mergeCell ref="A16:B16"/>
    <mergeCell ref="A4:B5"/>
    <mergeCell ref="D4:D5"/>
    <mergeCell ref="E4:G4"/>
    <mergeCell ref="I4:K4"/>
    <mergeCell ref="A6:B6"/>
    <mergeCell ref="A7:B7"/>
    <mergeCell ref="A8:B8"/>
    <mergeCell ref="A9:B9"/>
    <mergeCell ref="A10:B10"/>
    <mergeCell ref="A271:J271"/>
    <mergeCell ref="A97:K97"/>
    <mergeCell ref="A21:K21"/>
    <mergeCell ref="A24:B24"/>
    <mergeCell ref="A25:B25"/>
    <mergeCell ref="A26:B26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80:K80"/>
    <mergeCell ref="A98:K98"/>
    <mergeCell ref="A99:K99"/>
    <mergeCell ref="A253:K253"/>
    <mergeCell ref="A214:K214"/>
    <mergeCell ref="A216:K216"/>
    <mergeCell ref="A118:K118"/>
    <mergeCell ref="A120:K120"/>
    <mergeCell ref="A255:K255"/>
    <mergeCell ref="A55:B55"/>
    <mergeCell ref="A56:B56"/>
    <mergeCell ref="A58:K58"/>
    <mergeCell ref="A59:K59"/>
    <mergeCell ref="A60:K60"/>
    <mergeCell ref="A36:J36"/>
    <mergeCell ref="A114:J114"/>
    <mergeCell ref="A192:J192"/>
    <mergeCell ref="A231:J231"/>
    <mergeCell ref="A138:K138"/>
    <mergeCell ref="A119:K119"/>
    <mergeCell ref="A137:K137"/>
    <mergeCell ref="A158:K158"/>
    <mergeCell ref="A157:K157"/>
    <mergeCell ref="A159:K159"/>
    <mergeCell ref="A136:K136"/>
    <mergeCell ref="A102:B102"/>
    <mergeCell ref="A103:B103"/>
    <mergeCell ref="A100:B101"/>
    <mergeCell ref="A144:B144"/>
    <mergeCell ref="A145:B145"/>
    <mergeCell ref="A109:B109"/>
    <mergeCell ref="A110:B110"/>
    <mergeCell ref="A111:B111"/>
    <mergeCell ref="E61:G61"/>
    <mergeCell ref="I61:K61"/>
    <mergeCell ref="A63:B63"/>
    <mergeCell ref="A64:B64"/>
    <mergeCell ref="A65:B65"/>
    <mergeCell ref="A66:B66"/>
    <mergeCell ref="A67:B67"/>
    <mergeCell ref="A40:K40"/>
    <mergeCell ref="A41:K41"/>
    <mergeCell ref="A42:K42"/>
    <mergeCell ref="A43:B44"/>
    <mergeCell ref="D43:D44"/>
    <mergeCell ref="E43:G43"/>
    <mergeCell ref="I43:K43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8:B68"/>
    <mergeCell ref="A69:B69"/>
    <mergeCell ref="A70:B70"/>
    <mergeCell ref="A71:B71"/>
    <mergeCell ref="A72:B72"/>
    <mergeCell ref="A73:B73"/>
    <mergeCell ref="A74:B74"/>
    <mergeCell ref="A61:B62"/>
    <mergeCell ref="D61:D62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8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"/>
  <sheetViews>
    <sheetView rightToLeft="1" tabSelected="1" view="pageBreakPreview" topLeftCell="A7" zoomScale="110" zoomScaleNormal="100" zoomScaleSheetLayoutView="110" workbookViewId="0">
      <selection activeCell="G18" sqref="G18"/>
    </sheetView>
  </sheetViews>
  <sheetFormatPr defaultRowHeight="15" x14ac:dyDescent="0.25"/>
  <cols>
    <col min="1" max="6" width="12.140625" customWidth="1"/>
    <col min="7" max="7" width="12.140625" style="475" customWidth="1"/>
    <col min="8" max="8" width="12.140625" customWidth="1"/>
  </cols>
  <sheetData>
    <row r="1" spans="1:8" ht="20.25" customHeight="1" x14ac:dyDescent="0.25">
      <c r="A1" s="887" t="s">
        <v>500</v>
      </c>
      <c r="B1" s="887"/>
      <c r="C1" s="887"/>
      <c r="D1" s="887"/>
      <c r="E1" s="887"/>
      <c r="F1" s="887"/>
      <c r="G1" s="887"/>
      <c r="H1" s="887"/>
    </row>
    <row r="2" spans="1:8" ht="16.5" customHeight="1" thickBot="1" x14ac:dyDescent="0.3">
      <c r="A2" s="730" t="s">
        <v>390</v>
      </c>
      <c r="B2" s="730"/>
      <c r="C2" s="730"/>
      <c r="D2" s="730"/>
      <c r="E2" s="730"/>
      <c r="F2" s="730"/>
      <c r="G2" s="730"/>
      <c r="H2" s="730" t="s">
        <v>514</v>
      </c>
    </row>
    <row r="3" spans="1:8" ht="28.5" customHeight="1" thickTop="1" x14ac:dyDescent="0.25">
      <c r="A3" s="761" t="s">
        <v>351</v>
      </c>
      <c r="B3" s="792" t="s">
        <v>352</v>
      </c>
      <c r="C3" s="761" t="s">
        <v>513</v>
      </c>
      <c r="D3" s="761" t="s">
        <v>515</v>
      </c>
      <c r="E3" s="796" t="s">
        <v>355</v>
      </c>
      <c r="F3" s="796"/>
      <c r="G3" s="890" t="s">
        <v>518</v>
      </c>
      <c r="H3" s="792" t="s">
        <v>354</v>
      </c>
    </row>
    <row r="4" spans="1:8" ht="28.5" customHeight="1" x14ac:dyDescent="0.25">
      <c r="A4" s="762"/>
      <c r="B4" s="806"/>
      <c r="C4" s="762"/>
      <c r="D4" s="762"/>
      <c r="E4" s="167" t="s">
        <v>516</v>
      </c>
      <c r="F4" s="167" t="s">
        <v>517</v>
      </c>
      <c r="G4" s="891"/>
      <c r="H4" s="806"/>
    </row>
    <row r="5" spans="1:8" ht="23.25" customHeight="1" x14ac:dyDescent="0.25">
      <c r="A5" s="893" t="s">
        <v>197</v>
      </c>
      <c r="B5" s="743" t="s">
        <v>86</v>
      </c>
      <c r="C5" s="744">
        <v>1800</v>
      </c>
      <c r="D5" s="747">
        <v>745</v>
      </c>
      <c r="E5" s="747">
        <v>116</v>
      </c>
      <c r="F5" s="747">
        <v>939</v>
      </c>
      <c r="G5" s="747">
        <v>1055</v>
      </c>
      <c r="H5" s="748">
        <f>F5/G5*100</f>
        <v>89.004739336492889</v>
      </c>
    </row>
    <row r="6" spans="1:8" ht="23.25" customHeight="1" x14ac:dyDescent="0.25">
      <c r="A6" s="894"/>
      <c r="B6" s="456" t="s">
        <v>87</v>
      </c>
      <c r="C6" s="463">
        <v>550</v>
      </c>
      <c r="D6" s="749">
        <v>228</v>
      </c>
      <c r="E6" s="463">
        <v>15</v>
      </c>
      <c r="F6" s="749">
        <v>307</v>
      </c>
      <c r="G6" s="750">
        <v>322</v>
      </c>
      <c r="H6" s="751">
        <f t="shared" ref="H6:H14" si="0">F6/G6*100</f>
        <v>95.341614906832291</v>
      </c>
    </row>
    <row r="7" spans="1:8" ht="23.25" customHeight="1" x14ac:dyDescent="0.25">
      <c r="A7" s="895"/>
      <c r="B7" s="745" t="s">
        <v>220</v>
      </c>
      <c r="C7" s="746">
        <f>SUM(C5:C6)</f>
        <v>2350</v>
      </c>
      <c r="D7" s="752">
        <f>SUM(D5:D6)</f>
        <v>973</v>
      </c>
      <c r="E7" s="753">
        <f>SUM(E5:E6)</f>
        <v>131</v>
      </c>
      <c r="F7" s="753">
        <f>SUM(F5:F6)</f>
        <v>1246</v>
      </c>
      <c r="G7" s="753">
        <f>SUM(G5:G6)</f>
        <v>1377</v>
      </c>
      <c r="H7" s="754">
        <f t="shared" si="0"/>
        <v>90.486564996368926</v>
      </c>
    </row>
    <row r="8" spans="1:8" ht="23.25" customHeight="1" x14ac:dyDescent="0.25">
      <c r="A8" s="893" t="s">
        <v>393</v>
      </c>
      <c r="B8" s="743" t="s">
        <v>86</v>
      </c>
      <c r="C8" s="744">
        <v>1450</v>
      </c>
      <c r="D8" s="747">
        <v>220</v>
      </c>
      <c r="E8" s="744">
        <v>413</v>
      </c>
      <c r="F8" s="747">
        <v>817</v>
      </c>
      <c r="G8" s="747">
        <v>1230</v>
      </c>
      <c r="H8" s="748">
        <f t="shared" si="0"/>
        <v>66.422764227642276</v>
      </c>
    </row>
    <row r="9" spans="1:8" ht="23.25" customHeight="1" x14ac:dyDescent="0.25">
      <c r="A9" s="894"/>
      <c r="B9" s="456" t="s">
        <v>87</v>
      </c>
      <c r="C9" s="463">
        <v>500</v>
      </c>
      <c r="D9" s="749">
        <v>345</v>
      </c>
      <c r="E9" s="750">
        <v>0</v>
      </c>
      <c r="F9" s="750">
        <v>155</v>
      </c>
      <c r="G9" s="750">
        <v>155</v>
      </c>
      <c r="H9" s="751">
        <f t="shared" si="0"/>
        <v>100</v>
      </c>
    </row>
    <row r="10" spans="1:8" ht="23.25" customHeight="1" x14ac:dyDescent="0.25">
      <c r="A10" s="894"/>
      <c r="B10" s="456" t="s">
        <v>238</v>
      </c>
      <c r="C10" s="463">
        <v>1050</v>
      </c>
      <c r="D10" s="749">
        <v>17</v>
      </c>
      <c r="E10" s="463">
        <v>401</v>
      </c>
      <c r="F10" s="749">
        <v>634</v>
      </c>
      <c r="G10" s="750">
        <v>1035</v>
      </c>
      <c r="H10" s="751">
        <f t="shared" si="0"/>
        <v>61.25603864734299</v>
      </c>
    </row>
    <row r="11" spans="1:8" ht="23.25" customHeight="1" x14ac:dyDescent="0.25">
      <c r="A11" s="895"/>
      <c r="B11" s="745" t="s">
        <v>220</v>
      </c>
      <c r="C11" s="746">
        <f>SUM(C8:C10)</f>
        <v>3000</v>
      </c>
      <c r="D11" s="752">
        <f>SUM(D8:D10)</f>
        <v>582</v>
      </c>
      <c r="E11" s="753">
        <f>SUM(E8:E10)</f>
        <v>814</v>
      </c>
      <c r="F11" s="753">
        <f>SUM(F8:F10)</f>
        <v>1606</v>
      </c>
      <c r="G11" s="753">
        <f>SUM(G8:G10)</f>
        <v>2420</v>
      </c>
      <c r="H11" s="754">
        <f t="shared" si="0"/>
        <v>66.363636363636374</v>
      </c>
    </row>
    <row r="12" spans="1:8" ht="23.25" customHeight="1" x14ac:dyDescent="0.25">
      <c r="A12" s="896" t="s">
        <v>394</v>
      </c>
      <c r="B12" s="457" t="s">
        <v>87</v>
      </c>
      <c r="C12" s="462">
        <v>1200</v>
      </c>
      <c r="D12" s="750">
        <v>605</v>
      </c>
      <c r="E12" s="462">
        <v>83</v>
      </c>
      <c r="F12" s="750">
        <v>480</v>
      </c>
      <c r="G12" s="750">
        <v>563</v>
      </c>
      <c r="H12" s="751">
        <f t="shared" si="0"/>
        <v>85.257548845470694</v>
      </c>
    </row>
    <row r="13" spans="1:8" ht="23.25" customHeight="1" x14ac:dyDescent="0.25">
      <c r="A13" s="896"/>
      <c r="B13" s="455" t="s">
        <v>238</v>
      </c>
      <c r="C13" s="463">
        <v>1800</v>
      </c>
      <c r="D13" s="749">
        <v>600</v>
      </c>
      <c r="E13" s="462">
        <v>183</v>
      </c>
      <c r="F13" s="750">
        <v>1017</v>
      </c>
      <c r="G13" s="750">
        <v>1200</v>
      </c>
      <c r="H13" s="751">
        <f t="shared" si="0"/>
        <v>84.75</v>
      </c>
    </row>
    <row r="14" spans="1:8" ht="23.25" customHeight="1" thickBot="1" x14ac:dyDescent="0.3">
      <c r="A14" s="896"/>
      <c r="B14" s="721" t="s">
        <v>220</v>
      </c>
      <c r="C14" s="755">
        <f>SUM(C12:C13)</f>
        <v>3000</v>
      </c>
      <c r="D14" s="756">
        <f>SUM(D12:D13)</f>
        <v>1205</v>
      </c>
      <c r="E14" s="756">
        <f>SUM(E12:E13)</f>
        <v>266</v>
      </c>
      <c r="F14" s="756">
        <f>SUM(F12:F13)</f>
        <v>1497</v>
      </c>
      <c r="G14" s="757">
        <f>SUM(G12:G13)</f>
        <v>1763</v>
      </c>
      <c r="H14" s="758">
        <f t="shared" si="0"/>
        <v>84.912081678956326</v>
      </c>
    </row>
    <row r="15" spans="1:8" ht="30.75" customHeight="1" thickBot="1" x14ac:dyDescent="0.3">
      <c r="A15" s="905" t="s">
        <v>353</v>
      </c>
      <c r="B15" s="905"/>
      <c r="C15" s="906">
        <v>8350</v>
      </c>
      <c r="D15" s="906">
        <f>D7+D11+D14</f>
        <v>2760</v>
      </c>
      <c r="E15" s="906">
        <f>E7+E11+E14</f>
        <v>1211</v>
      </c>
      <c r="F15" s="906">
        <f>F7+F11+F14</f>
        <v>4349</v>
      </c>
      <c r="G15" s="906">
        <f>G7+G11+G14</f>
        <v>5560</v>
      </c>
      <c r="H15" s="907">
        <f>F15/G15*100</f>
        <v>78.219424460431654</v>
      </c>
    </row>
    <row r="16" spans="1:8" ht="18.75" customHeight="1" thickTop="1" x14ac:dyDescent="0.25">
      <c r="A16" s="897"/>
      <c r="B16" s="897"/>
      <c r="C16" s="897"/>
      <c r="D16" s="897"/>
      <c r="E16" s="897"/>
      <c r="F16" s="897"/>
      <c r="G16" s="476"/>
      <c r="H16" s="14"/>
    </row>
    <row r="17" spans="1:8" ht="24" customHeight="1" x14ac:dyDescent="0.25">
      <c r="A17" s="888" t="s">
        <v>4</v>
      </c>
      <c r="B17" s="888"/>
      <c r="C17" s="888"/>
      <c r="D17" s="888"/>
      <c r="E17" s="888"/>
      <c r="F17" s="459"/>
      <c r="G17" s="459"/>
      <c r="H17" s="459"/>
    </row>
    <row r="18" spans="1:8" ht="24" customHeight="1" x14ac:dyDescent="0.25">
      <c r="A18" s="687"/>
      <c r="B18" s="687"/>
      <c r="C18" s="687"/>
      <c r="D18" s="687"/>
      <c r="E18" s="687"/>
      <c r="F18" s="459"/>
      <c r="G18" s="459"/>
      <c r="H18" s="459"/>
    </row>
    <row r="19" spans="1:8" ht="24" customHeight="1" x14ac:dyDescent="0.25">
      <c r="A19" s="687"/>
      <c r="B19" s="687"/>
      <c r="C19" s="687"/>
      <c r="D19" s="687"/>
      <c r="E19" s="687"/>
      <c r="F19" s="459"/>
      <c r="G19" s="459"/>
      <c r="H19" s="459"/>
    </row>
    <row r="20" spans="1:8" ht="24" customHeight="1" x14ac:dyDescent="0.25">
      <c r="A20" s="687"/>
      <c r="B20" s="687"/>
      <c r="C20" s="687"/>
      <c r="D20" s="687"/>
      <c r="E20" s="687"/>
      <c r="F20" s="459"/>
      <c r="G20" s="459"/>
      <c r="H20" s="459"/>
    </row>
    <row r="21" spans="1:8" ht="20.25" customHeight="1" x14ac:dyDescent="0.25">
      <c r="A21" s="687"/>
      <c r="B21" s="687"/>
      <c r="C21" s="687"/>
      <c r="D21" s="687"/>
      <c r="E21" s="687"/>
      <c r="F21" s="459"/>
      <c r="G21" s="459"/>
      <c r="H21" s="459"/>
    </row>
    <row r="22" spans="1:8" ht="18.75" customHeight="1" x14ac:dyDescent="0.25">
      <c r="A22" s="888"/>
      <c r="B22" s="888"/>
      <c r="C22" s="888"/>
      <c r="D22" s="888"/>
      <c r="E22" s="888"/>
      <c r="F22" s="459"/>
      <c r="G22" s="459"/>
      <c r="H22" s="459"/>
    </row>
    <row r="23" spans="1:8" ht="18.75" customHeight="1" x14ac:dyDescent="0.25">
      <c r="A23" s="889"/>
      <c r="B23" s="889"/>
      <c r="C23" s="889"/>
      <c r="D23" s="889"/>
      <c r="E23" s="889"/>
      <c r="F23" s="14"/>
      <c r="G23" s="476"/>
      <c r="H23" s="14"/>
    </row>
    <row r="24" spans="1:8" ht="18.75" customHeight="1" x14ac:dyDescent="0.25">
      <c r="A24" s="892" t="s">
        <v>253</v>
      </c>
      <c r="B24" s="892"/>
      <c r="C24" s="892"/>
      <c r="D24" s="892"/>
      <c r="E24" s="892"/>
      <c r="F24" s="686"/>
      <c r="G24" s="485"/>
      <c r="H24" s="486">
        <v>50</v>
      </c>
    </row>
  </sheetData>
  <mergeCells count="17">
    <mergeCell ref="A24:E24"/>
    <mergeCell ref="C3:C4"/>
    <mergeCell ref="D3:D4"/>
    <mergeCell ref="E3:F3"/>
    <mergeCell ref="B3:B4"/>
    <mergeCell ref="A5:A7"/>
    <mergeCell ref="A8:A11"/>
    <mergeCell ref="A12:A14"/>
    <mergeCell ref="A3:A4"/>
    <mergeCell ref="A15:B15"/>
    <mergeCell ref="A16:F16"/>
    <mergeCell ref="A1:H1"/>
    <mergeCell ref="A17:E17"/>
    <mergeCell ref="A22:E22"/>
    <mergeCell ref="A23:E23"/>
    <mergeCell ref="G3:G4"/>
    <mergeCell ref="H3:H4"/>
  </mergeCells>
  <printOptions horizontalCentered="1"/>
  <pageMargins left="0.31496062992126" right="0.31496062992126" top="0.74803149599999996" bottom="0.74803149606299202" header="0.31496062992126" footer="0.31496062992126"/>
  <pageSetup paperSize="9" scale="9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2"/>
  <sheetViews>
    <sheetView rightToLeft="1" view="pageBreakPreview" topLeftCell="A4" zoomScale="110" zoomScaleSheetLayoutView="110" workbookViewId="0">
      <selection sqref="A1:E1"/>
    </sheetView>
  </sheetViews>
  <sheetFormatPr defaultRowHeight="15" x14ac:dyDescent="0.25"/>
  <cols>
    <col min="1" max="5" width="16.85546875" customWidth="1"/>
  </cols>
  <sheetData>
    <row r="1" spans="1:5" ht="32.25" customHeight="1" x14ac:dyDescent="0.25">
      <c r="A1" s="887" t="s">
        <v>501</v>
      </c>
      <c r="B1" s="887"/>
      <c r="C1" s="887"/>
      <c r="D1" s="887"/>
      <c r="E1" s="887"/>
    </row>
    <row r="2" spans="1:5" ht="24.75" customHeight="1" thickBot="1" x14ac:dyDescent="0.3">
      <c r="A2" s="209" t="s">
        <v>491</v>
      </c>
      <c r="B2" s="209"/>
      <c r="E2" s="393" t="s">
        <v>503</v>
      </c>
    </row>
    <row r="3" spans="1:5" ht="27.75" customHeight="1" thickTop="1" x14ac:dyDescent="0.25">
      <c r="A3" s="898" t="s">
        <v>243</v>
      </c>
      <c r="B3" s="767" t="s">
        <v>502</v>
      </c>
      <c r="C3" s="767"/>
      <c r="D3" s="767"/>
      <c r="E3" s="898" t="s">
        <v>398</v>
      </c>
    </row>
    <row r="4" spans="1:5" ht="30" customHeight="1" x14ac:dyDescent="0.25">
      <c r="A4" s="899"/>
      <c r="B4" s="167" t="s">
        <v>395</v>
      </c>
      <c r="C4" s="210" t="s">
        <v>396</v>
      </c>
      <c r="D4" s="210" t="s">
        <v>397</v>
      </c>
      <c r="E4" s="899"/>
    </row>
    <row r="5" spans="1:5" ht="24.75" customHeight="1" x14ac:dyDescent="0.25">
      <c r="A5" s="211" t="s">
        <v>66</v>
      </c>
      <c r="B5" s="215">
        <v>52</v>
      </c>
      <c r="C5" s="215">
        <v>208</v>
      </c>
      <c r="D5" s="215">
        <v>131</v>
      </c>
      <c r="E5" s="215">
        <f t="shared" ref="E5:E16" si="0">SUM(B5:D5)</f>
        <v>391</v>
      </c>
    </row>
    <row r="6" spans="1:5" ht="24.75" customHeight="1" x14ac:dyDescent="0.25">
      <c r="A6" s="212" t="s">
        <v>12</v>
      </c>
      <c r="B6" s="216">
        <v>59</v>
      </c>
      <c r="C6" s="216">
        <v>214</v>
      </c>
      <c r="D6" s="216">
        <v>131</v>
      </c>
      <c r="E6" s="216">
        <f t="shared" si="0"/>
        <v>404</v>
      </c>
    </row>
    <row r="7" spans="1:5" ht="24.75" customHeight="1" x14ac:dyDescent="0.25">
      <c r="A7" s="212" t="s">
        <v>20</v>
      </c>
      <c r="B7" s="216">
        <v>234</v>
      </c>
      <c r="C7" s="216">
        <v>283</v>
      </c>
      <c r="D7" s="216">
        <v>130</v>
      </c>
      <c r="E7" s="216">
        <f t="shared" si="0"/>
        <v>647</v>
      </c>
    </row>
    <row r="8" spans="1:5" ht="24.75" customHeight="1" x14ac:dyDescent="0.25">
      <c r="A8" s="212" t="s">
        <v>14</v>
      </c>
      <c r="B8" s="216">
        <v>245</v>
      </c>
      <c r="C8" s="216">
        <v>185</v>
      </c>
      <c r="D8" s="216">
        <v>117</v>
      </c>
      <c r="E8" s="216">
        <f t="shared" si="0"/>
        <v>547</v>
      </c>
    </row>
    <row r="9" spans="1:5" ht="24.75" customHeight="1" x14ac:dyDescent="0.25">
      <c r="A9" s="212" t="s">
        <v>15</v>
      </c>
      <c r="B9" s="216">
        <v>62</v>
      </c>
      <c r="C9" s="216">
        <v>129</v>
      </c>
      <c r="D9" s="216">
        <v>83</v>
      </c>
      <c r="E9" s="216">
        <f t="shared" si="0"/>
        <v>274</v>
      </c>
    </row>
    <row r="10" spans="1:5" ht="24.75" customHeight="1" x14ac:dyDescent="0.25">
      <c r="A10" s="212" t="s">
        <v>16</v>
      </c>
      <c r="B10" s="216">
        <v>53</v>
      </c>
      <c r="C10" s="216">
        <v>150</v>
      </c>
      <c r="D10" s="216">
        <v>177</v>
      </c>
      <c r="E10" s="216">
        <f t="shared" si="0"/>
        <v>380</v>
      </c>
    </row>
    <row r="11" spans="1:5" ht="24.75" customHeight="1" x14ac:dyDescent="0.25">
      <c r="A11" s="212" t="s">
        <v>17</v>
      </c>
      <c r="B11" s="216">
        <v>49</v>
      </c>
      <c r="C11" s="216">
        <v>190</v>
      </c>
      <c r="D11" s="216">
        <v>276</v>
      </c>
      <c r="E11" s="216">
        <f t="shared" si="0"/>
        <v>515</v>
      </c>
    </row>
    <row r="12" spans="1:5" ht="24.75" customHeight="1" x14ac:dyDescent="0.25">
      <c r="A12" s="212" t="s">
        <v>21</v>
      </c>
      <c r="B12" s="218">
        <v>53</v>
      </c>
      <c r="C12" s="218">
        <v>159</v>
      </c>
      <c r="D12" s="218">
        <v>257</v>
      </c>
      <c r="E12" s="216">
        <f t="shared" si="0"/>
        <v>469</v>
      </c>
    </row>
    <row r="13" spans="1:5" ht="24.75" customHeight="1" x14ac:dyDescent="0.25">
      <c r="A13" s="212" t="s">
        <v>19</v>
      </c>
      <c r="B13" s="216">
        <v>58</v>
      </c>
      <c r="C13" s="216">
        <v>178</v>
      </c>
      <c r="D13" s="216">
        <v>260</v>
      </c>
      <c r="E13" s="216">
        <f t="shared" si="0"/>
        <v>496</v>
      </c>
    </row>
    <row r="14" spans="1:5" ht="24.75" customHeight="1" x14ac:dyDescent="0.25">
      <c r="A14" s="213" t="s">
        <v>192</v>
      </c>
      <c r="B14" s="216">
        <v>56</v>
      </c>
      <c r="C14" s="216">
        <v>207</v>
      </c>
      <c r="D14" s="216">
        <v>266</v>
      </c>
      <c r="E14" s="216">
        <f t="shared" si="0"/>
        <v>529</v>
      </c>
    </row>
    <row r="15" spans="1:5" ht="24.75" customHeight="1" x14ac:dyDescent="0.25">
      <c r="A15" s="213" t="s">
        <v>64</v>
      </c>
      <c r="B15" s="216">
        <v>47</v>
      </c>
      <c r="C15" s="216">
        <v>124</v>
      </c>
      <c r="D15" s="216">
        <v>172</v>
      </c>
      <c r="E15" s="217">
        <f t="shared" si="0"/>
        <v>343</v>
      </c>
    </row>
    <row r="16" spans="1:5" ht="24.75" customHeight="1" x14ac:dyDescent="0.25">
      <c r="A16" s="214" t="s">
        <v>193</v>
      </c>
      <c r="B16" s="218">
        <v>58</v>
      </c>
      <c r="C16" s="218">
        <v>202</v>
      </c>
      <c r="D16" s="218">
        <v>198</v>
      </c>
      <c r="E16" s="218">
        <f t="shared" si="0"/>
        <v>458</v>
      </c>
    </row>
    <row r="17" spans="1:5" ht="24.75" customHeight="1" thickBot="1" x14ac:dyDescent="0.3">
      <c r="A17" s="318" t="s">
        <v>375</v>
      </c>
      <c r="B17" s="319">
        <f>SUM(B5:B16)</f>
        <v>1026</v>
      </c>
      <c r="C17" s="319">
        <f>SUM(C5:C16)</f>
        <v>2229</v>
      </c>
      <c r="D17" s="319">
        <f>SUM(D5:D16)</f>
        <v>2198</v>
      </c>
      <c r="E17" s="650">
        <f>SUM(B17:D17)</f>
        <v>5453</v>
      </c>
    </row>
    <row r="18" spans="1:5" ht="24.75" customHeight="1" thickTop="1" x14ac:dyDescent="0.25">
      <c r="A18" s="900" t="s">
        <v>422</v>
      </c>
      <c r="B18" s="900"/>
      <c r="C18" s="900"/>
      <c r="D18" s="900"/>
      <c r="E18" s="900"/>
    </row>
    <row r="19" spans="1:5" ht="24.75" customHeight="1" x14ac:dyDescent="0.25">
      <c r="A19" s="901" t="s">
        <v>423</v>
      </c>
      <c r="B19" s="901"/>
      <c r="C19" s="901"/>
      <c r="D19" s="901"/>
      <c r="E19" s="901"/>
    </row>
    <row r="20" spans="1:5" ht="24.75" customHeight="1" x14ac:dyDescent="0.25">
      <c r="A20" s="809" t="s">
        <v>4</v>
      </c>
      <c r="B20" s="809"/>
      <c r="C20" s="809"/>
      <c r="D20" s="517"/>
      <c r="E20" s="517"/>
    </row>
    <row r="21" spans="1:5" ht="24.75" customHeight="1" x14ac:dyDescent="0.25">
      <c r="D21" s="162"/>
    </row>
    <row r="22" spans="1:5" ht="24.75" customHeight="1" x14ac:dyDescent="0.25">
      <c r="A22" s="509" t="s">
        <v>228</v>
      </c>
      <c r="B22" s="208"/>
      <c r="C22" s="208"/>
      <c r="D22" s="43"/>
      <c r="E22" s="43">
        <v>51</v>
      </c>
    </row>
  </sheetData>
  <mergeCells count="7">
    <mergeCell ref="E3:E4"/>
    <mergeCell ref="A1:E1"/>
    <mergeCell ref="B3:D3"/>
    <mergeCell ref="A3:A4"/>
    <mergeCell ref="A20:C20"/>
    <mergeCell ref="A18:E18"/>
    <mergeCell ref="A19:E1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3"/>
  <sheetViews>
    <sheetView rightToLeft="1" view="pageBreakPreview" zoomScale="90" zoomScaleNormal="120" zoomScaleSheetLayoutView="90" workbookViewId="0">
      <selection activeCell="G14" sqref="G14"/>
    </sheetView>
  </sheetViews>
  <sheetFormatPr defaultColWidth="9.140625" defaultRowHeight="15" x14ac:dyDescent="0.25"/>
  <cols>
    <col min="1" max="1" width="4.28515625" style="1" customWidth="1"/>
    <col min="2" max="2" width="14.85546875" style="1" customWidth="1"/>
    <col min="3" max="8" width="16" style="1" customWidth="1"/>
    <col min="9" max="16384" width="9.140625" style="1"/>
  </cols>
  <sheetData>
    <row r="1" spans="1:8" ht="28.5" customHeight="1" x14ac:dyDescent="0.25">
      <c r="A1" s="779" t="s">
        <v>519</v>
      </c>
      <c r="B1" s="779"/>
      <c r="C1" s="779"/>
      <c r="D1" s="779"/>
      <c r="E1" s="779"/>
      <c r="F1" s="779"/>
      <c r="G1" s="779"/>
      <c r="H1" s="779"/>
    </row>
    <row r="2" spans="1:8" ht="24.75" customHeight="1" thickBot="1" x14ac:dyDescent="0.3">
      <c r="A2" s="783" t="s">
        <v>380</v>
      </c>
      <c r="B2" s="783"/>
      <c r="C2" s="631"/>
      <c r="D2" s="631"/>
      <c r="E2" s="631"/>
      <c r="F2" s="631"/>
      <c r="G2" s="631"/>
      <c r="H2" s="631"/>
    </row>
    <row r="3" spans="1:8" ht="22.5" customHeight="1" thickTop="1" x14ac:dyDescent="0.25">
      <c r="A3" s="784" t="s">
        <v>74</v>
      </c>
      <c r="B3" s="784"/>
      <c r="C3" s="780" t="s">
        <v>414</v>
      </c>
      <c r="D3" s="780"/>
      <c r="E3" s="780"/>
      <c r="F3" s="780"/>
      <c r="G3" s="781" t="s">
        <v>493</v>
      </c>
      <c r="H3" s="781" t="s">
        <v>221</v>
      </c>
    </row>
    <row r="4" spans="1:8" ht="22.5" customHeight="1" x14ac:dyDescent="0.25">
      <c r="A4" s="785"/>
      <c r="B4" s="785"/>
      <c r="C4" s="732" t="s">
        <v>410</v>
      </c>
      <c r="D4" s="732" t="s">
        <v>291</v>
      </c>
      <c r="E4" s="732" t="s">
        <v>411</v>
      </c>
      <c r="F4" s="732" t="s">
        <v>412</v>
      </c>
      <c r="G4" s="782"/>
      <c r="H4" s="782"/>
    </row>
    <row r="5" spans="1:8" ht="22.5" customHeight="1" x14ac:dyDescent="0.25">
      <c r="A5" s="778" t="s">
        <v>75</v>
      </c>
      <c r="B5" s="778"/>
      <c r="C5" s="634">
        <v>120633600</v>
      </c>
      <c r="D5" s="759">
        <v>732700000</v>
      </c>
      <c r="E5" s="435">
        <v>0</v>
      </c>
      <c r="F5" s="435">
        <v>0</v>
      </c>
      <c r="G5" s="634">
        <f>SUM(C5:F5)</f>
        <v>853333600</v>
      </c>
      <c r="H5" s="695">
        <f>G5/48981697770*100</f>
        <v>1.7421478610376882</v>
      </c>
    </row>
    <row r="6" spans="1:8" ht="22.5" customHeight="1" x14ac:dyDescent="0.25">
      <c r="A6" s="777" t="s">
        <v>76</v>
      </c>
      <c r="B6" s="777"/>
      <c r="C6" s="634">
        <v>2005809696</v>
      </c>
      <c r="D6" s="759">
        <v>274770128</v>
      </c>
      <c r="E6" s="634">
        <v>124908480</v>
      </c>
      <c r="F6" s="435">
        <v>0</v>
      </c>
      <c r="G6" s="634">
        <f t="shared" ref="G6:G19" si="0">SUM(C6:F6)</f>
        <v>2405488304</v>
      </c>
      <c r="H6" s="695">
        <f t="shared" ref="H6:H19" si="1">G6/48981697770*100</f>
        <v>4.9109941335543059</v>
      </c>
    </row>
    <row r="7" spans="1:8" ht="22.5" customHeight="1" x14ac:dyDescent="0.25">
      <c r="A7" s="777" t="s">
        <v>77</v>
      </c>
      <c r="B7" s="777"/>
      <c r="C7" s="634">
        <v>3738966157</v>
      </c>
      <c r="D7" s="759">
        <v>365817600</v>
      </c>
      <c r="E7" s="634">
        <v>39159827</v>
      </c>
      <c r="F7" s="435">
        <v>0</v>
      </c>
      <c r="G7" s="634">
        <f t="shared" si="0"/>
        <v>4143943584</v>
      </c>
      <c r="H7" s="695">
        <f t="shared" si="1"/>
        <v>8.4601877286051455</v>
      </c>
    </row>
    <row r="8" spans="1:8" ht="22.5" customHeight="1" x14ac:dyDescent="0.25">
      <c r="A8" s="777" t="s">
        <v>330</v>
      </c>
      <c r="B8" s="777"/>
      <c r="C8" s="634">
        <v>1567326006</v>
      </c>
      <c r="D8" s="759">
        <v>148403983</v>
      </c>
      <c r="E8" s="634">
        <v>33592320</v>
      </c>
      <c r="F8" s="435">
        <v>0</v>
      </c>
      <c r="G8" s="634">
        <f t="shared" si="0"/>
        <v>1749322309</v>
      </c>
      <c r="H8" s="695">
        <f t="shared" si="1"/>
        <v>3.5713794920179636</v>
      </c>
    </row>
    <row r="9" spans="1:8" ht="22.5" customHeight="1" x14ac:dyDescent="0.25">
      <c r="A9" s="777" t="s">
        <v>36</v>
      </c>
      <c r="B9" s="777"/>
      <c r="C9" s="634">
        <v>1581243630</v>
      </c>
      <c r="D9" s="759">
        <v>2070230400</v>
      </c>
      <c r="E9" s="634">
        <v>19595520</v>
      </c>
      <c r="F9" s="435">
        <v>0</v>
      </c>
      <c r="G9" s="634">
        <f t="shared" si="0"/>
        <v>3671069550</v>
      </c>
      <c r="H9" s="695">
        <f t="shared" si="1"/>
        <v>7.4947780847409371</v>
      </c>
    </row>
    <row r="10" spans="1:8" ht="22.5" customHeight="1" x14ac:dyDescent="0.25">
      <c r="A10" s="777" t="s">
        <v>81</v>
      </c>
      <c r="B10" s="777"/>
      <c r="C10" s="634">
        <v>2097395764</v>
      </c>
      <c r="D10" s="759">
        <v>1085522700</v>
      </c>
      <c r="E10" s="634">
        <v>32466528</v>
      </c>
      <c r="F10" s="435">
        <v>0</v>
      </c>
      <c r="G10" s="634">
        <f t="shared" si="0"/>
        <v>3215384992</v>
      </c>
      <c r="H10" s="695">
        <f t="shared" si="1"/>
        <v>6.5644621121510784</v>
      </c>
    </row>
    <row r="11" spans="1:8" ht="22.5" customHeight="1" x14ac:dyDescent="0.25">
      <c r="A11" s="777" t="s">
        <v>73</v>
      </c>
      <c r="B11" s="777"/>
      <c r="C11" s="634">
        <v>718849255</v>
      </c>
      <c r="D11" s="759">
        <v>240588012</v>
      </c>
      <c r="E11" s="634">
        <v>18385488</v>
      </c>
      <c r="F11" s="435">
        <v>0</v>
      </c>
      <c r="G11" s="634">
        <f t="shared" si="0"/>
        <v>977822755</v>
      </c>
      <c r="H11" s="695">
        <f t="shared" si="1"/>
        <v>1.9963022915038497</v>
      </c>
    </row>
    <row r="12" spans="1:8" ht="22.5" customHeight="1" x14ac:dyDescent="0.25">
      <c r="A12" s="777" t="s">
        <v>80</v>
      </c>
      <c r="B12" s="777"/>
      <c r="C12" s="634">
        <v>7042478687</v>
      </c>
      <c r="D12" s="759">
        <v>340357248</v>
      </c>
      <c r="E12" s="634">
        <v>255492576</v>
      </c>
      <c r="F12" s="435">
        <v>0</v>
      </c>
      <c r="G12" s="634">
        <f t="shared" si="0"/>
        <v>7638328511</v>
      </c>
      <c r="H12" s="695">
        <f t="shared" si="1"/>
        <v>15.594250217431776</v>
      </c>
    </row>
    <row r="13" spans="1:8" ht="22.5" customHeight="1" x14ac:dyDescent="0.25">
      <c r="A13" s="777" t="s">
        <v>78</v>
      </c>
      <c r="B13" s="777"/>
      <c r="C13" s="634">
        <v>3226071070</v>
      </c>
      <c r="D13" s="759">
        <v>561066820</v>
      </c>
      <c r="E13" s="634">
        <v>31358400</v>
      </c>
      <c r="F13" s="435">
        <v>0</v>
      </c>
      <c r="G13" s="634">
        <f t="shared" si="0"/>
        <v>3818496290</v>
      </c>
      <c r="H13" s="695">
        <f t="shared" si="1"/>
        <v>7.79576140445407</v>
      </c>
    </row>
    <row r="14" spans="1:8" ht="22.5" customHeight="1" x14ac:dyDescent="0.25">
      <c r="A14" s="777" t="s">
        <v>82</v>
      </c>
      <c r="B14" s="777"/>
      <c r="C14" s="634">
        <v>1782896833</v>
      </c>
      <c r="D14" s="759">
        <v>245148314</v>
      </c>
      <c r="E14" s="634">
        <v>89144842</v>
      </c>
      <c r="F14" s="435">
        <v>0</v>
      </c>
      <c r="G14" s="634">
        <f t="shared" si="0"/>
        <v>2117189989</v>
      </c>
      <c r="H14" s="695">
        <f t="shared" si="1"/>
        <v>4.3224103805906111</v>
      </c>
    </row>
    <row r="15" spans="1:8" ht="22.5" customHeight="1" x14ac:dyDescent="0.25">
      <c r="A15" s="777" t="s">
        <v>83</v>
      </c>
      <c r="B15" s="777"/>
      <c r="C15" s="634">
        <v>3799322549</v>
      </c>
      <c r="D15" s="759">
        <v>672043664</v>
      </c>
      <c r="E15" s="634">
        <v>156414142</v>
      </c>
      <c r="F15" s="435">
        <v>0</v>
      </c>
      <c r="G15" s="634">
        <f t="shared" si="0"/>
        <v>4627780355</v>
      </c>
      <c r="H15" s="695">
        <f t="shared" si="1"/>
        <v>9.4479786648685611</v>
      </c>
    </row>
    <row r="16" spans="1:8" ht="22.5" customHeight="1" x14ac:dyDescent="0.25">
      <c r="A16" s="777" t="s">
        <v>84</v>
      </c>
      <c r="B16" s="777"/>
      <c r="C16" s="634">
        <v>1391128806</v>
      </c>
      <c r="D16" s="634">
        <v>188171841</v>
      </c>
      <c r="E16" s="634">
        <v>85989196</v>
      </c>
      <c r="F16" s="435">
        <v>0</v>
      </c>
      <c r="G16" s="634">
        <f t="shared" si="0"/>
        <v>1665289843</v>
      </c>
      <c r="H16" s="695">
        <f t="shared" si="1"/>
        <v>3.3998205836383772</v>
      </c>
    </row>
    <row r="17" spans="1:8" ht="22.5" customHeight="1" x14ac:dyDescent="0.25">
      <c r="A17" s="777" t="s">
        <v>85</v>
      </c>
      <c r="B17" s="777"/>
      <c r="C17" s="634">
        <v>272331848</v>
      </c>
      <c r="D17" s="634">
        <v>838140952</v>
      </c>
      <c r="E17" s="634">
        <v>373446600</v>
      </c>
      <c r="F17" s="634">
        <v>2774086584</v>
      </c>
      <c r="G17" s="634">
        <f t="shared" si="0"/>
        <v>4258005984</v>
      </c>
      <c r="H17" s="695">
        <f t="shared" si="1"/>
        <v>8.6930551162069278</v>
      </c>
    </row>
    <row r="18" spans="1:8" ht="22.5" customHeight="1" x14ac:dyDescent="0.25">
      <c r="A18" s="777" t="s">
        <v>86</v>
      </c>
      <c r="B18" s="777"/>
      <c r="C18" s="634">
        <v>2869344000</v>
      </c>
      <c r="D18" s="634">
        <v>301881600</v>
      </c>
      <c r="E18" s="634">
        <v>93312000</v>
      </c>
      <c r="F18" s="634">
        <v>1724544000</v>
      </c>
      <c r="G18" s="634">
        <f t="shared" si="0"/>
        <v>4989081600</v>
      </c>
      <c r="H18" s="695">
        <f t="shared" si="1"/>
        <v>10.185603658384583</v>
      </c>
    </row>
    <row r="19" spans="1:8" ht="22.5" customHeight="1" x14ac:dyDescent="0.25">
      <c r="A19" s="790" t="s">
        <v>87</v>
      </c>
      <c r="B19" s="790"/>
      <c r="C19" s="634">
        <v>473614730</v>
      </c>
      <c r="D19" s="634">
        <v>449529374</v>
      </c>
      <c r="E19" s="634">
        <v>346896000</v>
      </c>
      <c r="F19" s="634">
        <v>1581120000</v>
      </c>
      <c r="G19" s="635">
        <f t="shared" si="0"/>
        <v>2851160104</v>
      </c>
      <c r="H19" s="695">
        <f t="shared" si="1"/>
        <v>5.8208682708141248</v>
      </c>
    </row>
    <row r="20" spans="1:8" ht="22.5" customHeight="1" thickBot="1" x14ac:dyDescent="0.3">
      <c r="A20" s="788" t="s">
        <v>413</v>
      </c>
      <c r="B20" s="788"/>
      <c r="C20" s="636">
        <f>SUM(C5:C19)</f>
        <v>32687412631</v>
      </c>
      <c r="D20" s="636">
        <f>SUM(D5:D19)</f>
        <v>8514372636</v>
      </c>
      <c r="E20" s="636">
        <f>SUM(E5:E19)</f>
        <v>1700161919</v>
      </c>
      <c r="F20" s="636">
        <f>SUM(F5:F19)</f>
        <v>6079750584</v>
      </c>
      <c r="G20" s="636">
        <f>SUM(C20:F20)</f>
        <v>48981697770</v>
      </c>
      <c r="H20" s="696">
        <f>SUM(H5:H19)</f>
        <v>100</v>
      </c>
    </row>
    <row r="21" spans="1:8" ht="5.25" customHeight="1" thickTop="1" x14ac:dyDescent="0.6">
      <c r="A21" s="629"/>
      <c r="B21" s="630"/>
      <c r="C21" s="630"/>
      <c r="D21" s="630"/>
      <c r="E21" s="630"/>
      <c r="F21" s="630"/>
      <c r="G21" s="630"/>
      <c r="H21" s="630"/>
    </row>
    <row r="22" spans="1:8" customFormat="1" x14ac:dyDescent="0.25">
      <c r="A22" s="786" t="s">
        <v>431</v>
      </c>
      <c r="B22" s="786"/>
      <c r="C22" s="786"/>
      <c r="D22" s="653"/>
      <c r="E22" s="653"/>
      <c r="F22" s="653"/>
      <c r="G22" s="653"/>
      <c r="H22" s="653"/>
    </row>
    <row r="23" spans="1:8" customFormat="1" x14ac:dyDescent="0.25">
      <c r="A23" s="512" t="s">
        <v>405</v>
      </c>
      <c r="B23" s="786" t="s">
        <v>507</v>
      </c>
      <c r="C23" s="786"/>
      <c r="D23" s="786"/>
      <c r="E23" s="657"/>
      <c r="F23" s="657"/>
      <c r="G23" s="657"/>
      <c r="H23" s="657"/>
    </row>
    <row r="24" spans="1:8" customFormat="1" x14ac:dyDescent="0.25">
      <c r="A24" s="512" t="s">
        <v>405</v>
      </c>
      <c r="B24" s="786" t="s">
        <v>432</v>
      </c>
      <c r="C24" s="786"/>
      <c r="D24" s="786"/>
      <c r="E24" s="786"/>
      <c r="F24" s="786"/>
      <c r="G24" s="657"/>
      <c r="H24" s="657"/>
    </row>
    <row r="25" spans="1:8" customFormat="1" x14ac:dyDescent="0.25">
      <c r="A25" s="512" t="s">
        <v>405</v>
      </c>
      <c r="B25" s="786" t="s">
        <v>433</v>
      </c>
      <c r="C25" s="786"/>
      <c r="D25" s="786"/>
      <c r="E25" s="786"/>
      <c r="F25" s="786"/>
      <c r="G25" s="657"/>
      <c r="H25" s="657"/>
    </row>
    <row r="26" spans="1:8" customFormat="1" x14ac:dyDescent="0.25">
      <c r="A26" s="512" t="s">
        <v>405</v>
      </c>
      <c r="B26" s="786" t="s">
        <v>428</v>
      </c>
      <c r="C26" s="786"/>
      <c r="D26" s="786"/>
      <c r="E26" s="786"/>
      <c r="F26" s="786"/>
      <c r="G26" s="657"/>
      <c r="H26" s="657"/>
    </row>
    <row r="27" spans="1:8" ht="17.25" customHeight="1" x14ac:dyDescent="0.25">
      <c r="A27" s="789" t="s">
        <v>4</v>
      </c>
      <c r="B27" s="789"/>
      <c r="C27" s="789"/>
      <c r="D27" s="789"/>
      <c r="E27" s="789"/>
      <c r="F27" s="789"/>
      <c r="G27" s="789"/>
      <c r="H27" s="789"/>
    </row>
    <row r="28" spans="1:8" ht="17.25" customHeight="1" x14ac:dyDescent="0.25">
      <c r="A28" s="787" t="s">
        <v>228</v>
      </c>
      <c r="B28" s="787"/>
      <c r="C28" s="787"/>
      <c r="D28" s="787"/>
      <c r="E28" s="632"/>
      <c r="F28" s="632"/>
      <c r="G28" s="632"/>
      <c r="H28" s="633">
        <v>17</v>
      </c>
    </row>
    <row r="30" spans="1:8" x14ac:dyDescent="0.25">
      <c r="G30" s="1">
        <f>C20/G20*100</f>
        <v>66.733931486997534</v>
      </c>
    </row>
    <row r="31" spans="1:8" x14ac:dyDescent="0.25">
      <c r="G31" s="1">
        <f>E20/G20*100</f>
        <v>3.4710146777339848</v>
      </c>
    </row>
    <row r="32" spans="1:8" x14ac:dyDescent="0.25">
      <c r="F32" s="1">
        <f>C20/G20*100</f>
        <v>66.733931486997534</v>
      </c>
    </row>
    <row r="33" spans="6:6" x14ac:dyDescent="0.25">
      <c r="F33" s="1">
        <f>E20/G20*100</f>
        <v>3.4710146777339848</v>
      </c>
    </row>
  </sheetData>
  <mergeCells count="29">
    <mergeCell ref="B24:F24"/>
    <mergeCell ref="B25:F25"/>
    <mergeCell ref="B26:F26"/>
    <mergeCell ref="A17:B17"/>
    <mergeCell ref="A28:D28"/>
    <mergeCell ref="A20:B20"/>
    <mergeCell ref="A27:H27"/>
    <mergeCell ref="A18:B18"/>
    <mergeCell ref="A19:B19"/>
    <mergeCell ref="A22:C22"/>
    <mergeCell ref="B23:D23"/>
    <mergeCell ref="A1:H1"/>
    <mergeCell ref="C3:F3"/>
    <mergeCell ref="G3:G4"/>
    <mergeCell ref="H3:H4"/>
    <mergeCell ref="A2:B2"/>
    <mergeCell ref="A3:B4"/>
    <mergeCell ref="A5:B5"/>
    <mergeCell ref="A6:B6"/>
    <mergeCell ref="A7:B7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</mergeCells>
  <printOptions horizontalCentered="1"/>
  <pageMargins left="1.45" right="1.45" top="0.5" bottom="0.5" header="0.3" footer="0.3"/>
  <pageSetup paperSize="9" scale="9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rightToLeft="1" view="pageBreakPreview" zoomScale="80" zoomScaleSheetLayoutView="80" workbookViewId="0">
      <selection activeCell="A2" sqref="A2:M2"/>
    </sheetView>
  </sheetViews>
  <sheetFormatPr defaultRowHeight="15" x14ac:dyDescent="0.25"/>
  <cols>
    <col min="1" max="1" width="16.42578125" customWidth="1"/>
    <col min="2" max="13" width="9.85546875" customWidth="1"/>
    <col min="14" max="14" width="12.42578125" bestFit="1" customWidth="1"/>
    <col min="26" max="26" width="8.85546875" customWidth="1"/>
  </cols>
  <sheetData>
    <row r="1" spans="1:13" ht="1.5" customHeight="1" x14ac:dyDescent="0.25">
      <c r="A1" s="814"/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</row>
    <row r="2" spans="1:13" ht="29.25" customHeight="1" x14ac:dyDescent="0.25">
      <c r="A2" s="765" t="s">
        <v>460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</row>
    <row r="3" spans="1:13" ht="29.25" customHeight="1" x14ac:dyDescent="0.25">
      <c r="A3" s="649" t="s">
        <v>492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51" t="s">
        <v>424</v>
      </c>
    </row>
    <row r="4" spans="1:13" ht="29.25" customHeight="1" thickBot="1" x14ac:dyDescent="0.3">
      <c r="A4" s="903" t="s">
        <v>197</v>
      </c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3"/>
    </row>
    <row r="5" spans="1:13" ht="29.25" customHeight="1" thickTop="1" x14ac:dyDescent="0.25">
      <c r="A5" s="792" t="s">
        <v>434</v>
      </c>
      <c r="B5" s="796" t="s">
        <v>320</v>
      </c>
      <c r="C5" s="796"/>
      <c r="D5" s="796"/>
      <c r="E5" s="796"/>
      <c r="F5" s="796"/>
      <c r="G5" s="796"/>
      <c r="H5" s="796"/>
      <c r="I5" s="796"/>
      <c r="J5" s="796"/>
      <c r="K5" s="796"/>
      <c r="L5" s="796"/>
      <c r="M5" s="796"/>
    </row>
    <row r="6" spans="1:13" ht="29.25" customHeight="1" x14ac:dyDescent="0.25">
      <c r="A6" s="806"/>
      <c r="B6" s="183" t="s">
        <v>11</v>
      </c>
      <c r="C6" s="183" t="s">
        <v>12</v>
      </c>
      <c r="D6" s="183" t="s">
        <v>20</v>
      </c>
      <c r="E6" s="183" t="s">
        <v>14</v>
      </c>
      <c r="F6" s="183" t="s">
        <v>15</v>
      </c>
      <c r="G6" s="183" t="s">
        <v>16</v>
      </c>
      <c r="H6" s="183" t="s">
        <v>17</v>
      </c>
      <c r="I6" s="183" t="s">
        <v>21</v>
      </c>
      <c r="J6" s="183" t="s">
        <v>19</v>
      </c>
      <c r="K6" s="183" t="s">
        <v>194</v>
      </c>
      <c r="L6" s="183" t="s">
        <v>195</v>
      </c>
      <c r="M6" s="183" t="s">
        <v>196</v>
      </c>
    </row>
    <row r="7" spans="1:13" ht="29.25" customHeight="1" thickBot="1" x14ac:dyDescent="0.3">
      <c r="A7" s="378" t="s">
        <v>426</v>
      </c>
      <c r="B7" s="700">
        <v>20</v>
      </c>
      <c r="C7" s="700">
        <v>23</v>
      </c>
      <c r="D7" s="700">
        <v>87</v>
      </c>
      <c r="E7" s="700">
        <v>95</v>
      </c>
      <c r="F7" s="700">
        <v>23</v>
      </c>
      <c r="G7" s="700">
        <v>20</v>
      </c>
      <c r="H7" s="700">
        <v>18</v>
      </c>
      <c r="I7" s="700">
        <v>20</v>
      </c>
      <c r="J7" s="700">
        <v>23</v>
      </c>
      <c r="K7" s="700">
        <v>21</v>
      </c>
      <c r="L7" s="700">
        <v>18</v>
      </c>
      <c r="M7" s="700">
        <v>22</v>
      </c>
    </row>
    <row r="8" spans="1:13" ht="11.25" customHeight="1" thickTop="1" x14ac:dyDescent="0.25">
      <c r="A8" s="461"/>
      <c r="B8" s="461"/>
      <c r="C8" s="461"/>
      <c r="D8" s="461"/>
      <c r="E8" s="461"/>
      <c r="F8" s="461"/>
      <c r="G8" s="461"/>
      <c r="H8" s="461"/>
      <c r="I8" s="461"/>
      <c r="J8" s="391"/>
      <c r="K8" s="391"/>
      <c r="L8" s="391"/>
      <c r="M8" s="391"/>
    </row>
    <row r="9" spans="1:13" ht="29.25" customHeight="1" thickBot="1" x14ac:dyDescent="0.3">
      <c r="A9" s="903" t="s">
        <v>356</v>
      </c>
      <c r="B9" s="903"/>
      <c r="C9" s="903"/>
      <c r="D9" s="903"/>
      <c r="E9" s="903"/>
      <c r="F9" s="903"/>
      <c r="G9" s="903"/>
      <c r="H9" s="903"/>
      <c r="I9" s="903"/>
      <c r="J9" s="903"/>
      <c r="K9" s="903"/>
      <c r="L9" s="903"/>
      <c r="M9" s="903"/>
    </row>
    <row r="10" spans="1:13" ht="29.25" customHeight="1" thickTop="1" x14ac:dyDescent="0.25">
      <c r="A10" s="792" t="s">
        <v>434</v>
      </c>
      <c r="B10" s="904" t="s">
        <v>320</v>
      </c>
      <c r="C10" s="904"/>
      <c r="D10" s="904"/>
      <c r="E10" s="904"/>
      <c r="F10" s="904"/>
      <c r="G10" s="904"/>
      <c r="H10" s="904"/>
      <c r="I10" s="904"/>
      <c r="J10" s="904"/>
      <c r="K10" s="904"/>
      <c r="L10" s="904"/>
      <c r="M10" s="904"/>
    </row>
    <row r="11" spans="1:13" ht="29.25" customHeight="1" x14ac:dyDescent="0.25">
      <c r="A11" s="806"/>
      <c r="B11" s="184" t="s">
        <v>11</v>
      </c>
      <c r="C11" s="184" t="s">
        <v>12</v>
      </c>
      <c r="D11" s="184" t="s">
        <v>20</v>
      </c>
      <c r="E11" s="184" t="s">
        <v>14</v>
      </c>
      <c r="F11" s="184" t="s">
        <v>15</v>
      </c>
      <c r="G11" s="184" t="s">
        <v>16</v>
      </c>
      <c r="H11" s="184" t="s">
        <v>17</v>
      </c>
      <c r="I11" s="184" t="s">
        <v>21</v>
      </c>
      <c r="J11" s="184" t="s">
        <v>19</v>
      </c>
      <c r="K11" s="184" t="s">
        <v>194</v>
      </c>
      <c r="L11" s="184" t="s">
        <v>195</v>
      </c>
      <c r="M11" s="184" t="s">
        <v>196</v>
      </c>
    </row>
    <row r="12" spans="1:13" ht="29.25" customHeight="1" thickBot="1" x14ac:dyDescent="0.3">
      <c r="A12" s="488" t="s">
        <v>426</v>
      </c>
      <c r="B12" s="700">
        <v>78</v>
      </c>
      <c r="C12" s="700">
        <v>86</v>
      </c>
      <c r="D12" s="700">
        <v>106</v>
      </c>
      <c r="E12" s="700">
        <v>72</v>
      </c>
      <c r="F12" s="700">
        <v>48</v>
      </c>
      <c r="G12" s="700">
        <v>58</v>
      </c>
      <c r="H12" s="700">
        <v>71</v>
      </c>
      <c r="I12" s="700">
        <v>59</v>
      </c>
      <c r="J12" s="700">
        <v>70</v>
      </c>
      <c r="K12" s="700">
        <v>77</v>
      </c>
      <c r="L12" s="700">
        <v>48</v>
      </c>
      <c r="M12" s="700">
        <v>76</v>
      </c>
    </row>
    <row r="13" spans="1:13" ht="17.25" customHeight="1" thickTop="1" x14ac:dyDescent="0.25">
      <c r="A13" s="458"/>
      <c r="B13" s="165"/>
      <c r="C13" s="165"/>
      <c r="D13" s="165"/>
      <c r="E13" s="165"/>
      <c r="F13" s="165"/>
      <c r="G13" s="460"/>
      <c r="H13" s="165"/>
      <c r="I13" s="165"/>
      <c r="J13" s="165"/>
      <c r="K13" s="165"/>
      <c r="L13" s="165"/>
      <c r="M13" s="165"/>
    </row>
    <row r="14" spans="1:13" ht="29.25" customHeight="1" thickBot="1" x14ac:dyDescent="0.3">
      <c r="A14" s="903" t="s">
        <v>425</v>
      </c>
      <c r="B14" s="903"/>
      <c r="C14" s="903"/>
      <c r="D14" s="903"/>
      <c r="E14" s="903"/>
      <c r="F14" s="903"/>
      <c r="G14" s="903"/>
      <c r="H14" s="903"/>
      <c r="I14" s="903"/>
      <c r="J14" s="903"/>
      <c r="K14" s="903"/>
      <c r="L14" s="903"/>
      <c r="M14" s="903"/>
    </row>
    <row r="15" spans="1:13" ht="29.25" customHeight="1" thickTop="1" x14ac:dyDescent="0.25">
      <c r="A15" s="792" t="s">
        <v>434</v>
      </c>
      <c r="B15" s="796" t="s">
        <v>320</v>
      </c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</row>
    <row r="16" spans="1:13" ht="29.25" customHeight="1" x14ac:dyDescent="0.25">
      <c r="A16" s="806"/>
      <c r="B16" s="183" t="s">
        <v>11</v>
      </c>
      <c r="C16" s="183" t="s">
        <v>12</v>
      </c>
      <c r="D16" s="183" t="s">
        <v>20</v>
      </c>
      <c r="E16" s="183" t="s">
        <v>14</v>
      </c>
      <c r="F16" s="183" t="s">
        <v>15</v>
      </c>
      <c r="G16" s="183" t="s">
        <v>16</v>
      </c>
      <c r="H16" s="183" t="s">
        <v>17</v>
      </c>
      <c r="I16" s="183" t="s">
        <v>21</v>
      </c>
      <c r="J16" s="183" t="s">
        <v>19</v>
      </c>
      <c r="K16" s="183" t="s">
        <v>194</v>
      </c>
      <c r="L16" s="183" t="s">
        <v>195</v>
      </c>
      <c r="M16" s="183" t="s">
        <v>196</v>
      </c>
    </row>
    <row r="17" spans="1:13" ht="29.25" customHeight="1" thickBot="1" x14ac:dyDescent="0.3">
      <c r="A17" s="488" t="s">
        <v>427</v>
      </c>
      <c r="B17" s="700">
        <v>49</v>
      </c>
      <c r="C17" s="700">
        <v>52</v>
      </c>
      <c r="D17" s="700">
        <v>48</v>
      </c>
      <c r="E17" s="700">
        <v>45</v>
      </c>
      <c r="F17" s="700">
        <v>31</v>
      </c>
      <c r="G17" s="700">
        <v>68</v>
      </c>
      <c r="H17" s="700">
        <v>103</v>
      </c>
      <c r="I17" s="700">
        <v>96</v>
      </c>
      <c r="J17" s="700">
        <v>100</v>
      </c>
      <c r="K17" s="700">
        <v>99</v>
      </c>
      <c r="L17" s="700">
        <v>66</v>
      </c>
      <c r="M17" s="700">
        <v>74</v>
      </c>
    </row>
    <row r="18" spans="1:13" ht="29.25" customHeight="1" thickTop="1" x14ac:dyDescent="0.25">
      <c r="A18" s="901" t="s">
        <v>422</v>
      </c>
      <c r="B18" s="901"/>
      <c r="C18" s="901"/>
      <c r="D18" s="901"/>
      <c r="E18" s="901"/>
      <c r="F18" s="901"/>
      <c r="G18" s="901"/>
      <c r="H18" s="901"/>
      <c r="I18" s="901"/>
      <c r="J18" s="901"/>
    </row>
    <row r="19" spans="1:13" ht="29.25" customHeight="1" x14ac:dyDescent="0.25">
      <c r="A19" s="901" t="s">
        <v>423</v>
      </c>
      <c r="B19" s="901"/>
      <c r="C19" s="901"/>
      <c r="D19" s="901"/>
      <c r="E19" s="901"/>
      <c r="F19" s="901"/>
      <c r="G19" s="901"/>
      <c r="H19" s="901"/>
      <c r="I19" s="901"/>
      <c r="J19" s="901"/>
    </row>
    <row r="20" spans="1:13" ht="29.25" customHeight="1" thickBot="1" x14ac:dyDescent="0.3">
      <c r="A20" s="809" t="s">
        <v>4</v>
      </c>
      <c r="B20" s="809"/>
      <c r="C20" s="809"/>
      <c r="D20" s="809"/>
      <c r="E20" s="809"/>
      <c r="F20" s="809"/>
      <c r="G20" s="809"/>
      <c r="H20" s="809"/>
      <c r="I20" s="809"/>
      <c r="J20" s="809"/>
    </row>
    <row r="21" spans="1:13" ht="29.25" customHeight="1" x14ac:dyDescent="0.25">
      <c r="A21" s="902" t="s">
        <v>253</v>
      </c>
      <c r="B21" s="902"/>
      <c r="C21" s="902"/>
      <c r="D21" s="902"/>
      <c r="E21" s="902"/>
      <c r="F21" s="902"/>
      <c r="G21" s="902"/>
      <c r="H21" s="466"/>
      <c r="I21" s="467"/>
      <c r="J21" s="249"/>
      <c r="K21" s="249"/>
      <c r="L21" s="249"/>
      <c r="M21" s="306">
        <v>52</v>
      </c>
    </row>
  </sheetData>
  <mergeCells count="15">
    <mergeCell ref="A5:A6"/>
    <mergeCell ref="B5:M5"/>
    <mergeCell ref="A1:M1"/>
    <mergeCell ref="A2:M2"/>
    <mergeCell ref="A4:M4"/>
    <mergeCell ref="A21:G21"/>
    <mergeCell ref="B15:M15"/>
    <mergeCell ref="A15:A16"/>
    <mergeCell ref="A9:M9"/>
    <mergeCell ref="A14:M14"/>
    <mergeCell ref="A10:A11"/>
    <mergeCell ref="B10:M10"/>
    <mergeCell ref="A18:J18"/>
    <mergeCell ref="A19:J19"/>
    <mergeCell ref="A20:J20"/>
  </mergeCells>
  <printOptions horizontalCentered="1"/>
  <pageMargins left="0.23622047244094499" right="0.23622047244094499" top="0.511811023622047" bottom="0.511811023622047" header="0.31496062992126" footer="0.31496062992126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50"/>
  <sheetViews>
    <sheetView rightToLeft="1" view="pageBreakPreview" zoomScaleSheetLayoutView="100" workbookViewId="0">
      <selection sqref="A1:P1"/>
    </sheetView>
  </sheetViews>
  <sheetFormatPr defaultRowHeight="15" x14ac:dyDescent="0.25"/>
  <cols>
    <col min="1" max="1" width="15" customWidth="1"/>
    <col min="2" max="2" width="11.5703125" customWidth="1"/>
    <col min="3" max="9" width="7.28515625" customWidth="1"/>
    <col min="10" max="10" width="1.140625" customWidth="1"/>
    <col min="11" max="15" width="7.28515625" customWidth="1"/>
    <col min="16" max="16" width="10.7109375" customWidth="1"/>
    <col min="17" max="17" width="12" bestFit="1" customWidth="1"/>
    <col min="18" max="18" width="7.5703125" customWidth="1"/>
    <col min="25" max="25" width="8" customWidth="1"/>
    <col min="31" max="32" width="9.140625" customWidth="1"/>
    <col min="33" max="33" width="10.42578125" bestFit="1" customWidth="1"/>
  </cols>
  <sheetData>
    <row r="1" spans="1:35" ht="23.25" customHeight="1" x14ac:dyDescent="0.25">
      <c r="A1" s="765" t="s">
        <v>440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Y1">
        <v>44.99</v>
      </c>
      <c r="Z1">
        <f>Y1*86/100</f>
        <v>38.691400000000002</v>
      </c>
    </row>
    <row r="2" spans="1:35" ht="20.25" customHeight="1" thickBot="1" x14ac:dyDescent="0.3">
      <c r="A2" s="794" t="s">
        <v>415</v>
      </c>
      <c r="B2" s="794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</row>
    <row r="3" spans="1:35" ht="26.25" customHeight="1" thickTop="1" x14ac:dyDescent="0.25">
      <c r="A3" s="761" t="s">
        <v>0</v>
      </c>
      <c r="B3" s="761" t="s">
        <v>1</v>
      </c>
      <c r="C3" s="796" t="s">
        <v>241</v>
      </c>
      <c r="D3" s="796"/>
      <c r="E3" s="796"/>
      <c r="F3" s="796"/>
      <c r="G3" s="796"/>
      <c r="H3" s="796"/>
      <c r="I3" s="796"/>
      <c r="J3" s="189"/>
      <c r="K3" s="796" t="s">
        <v>242</v>
      </c>
      <c r="L3" s="796"/>
      <c r="M3" s="796"/>
      <c r="N3" s="796"/>
      <c r="O3" s="796"/>
      <c r="P3" s="792" t="s">
        <v>231</v>
      </c>
    </row>
    <row r="4" spans="1:35" ht="26.25" customHeight="1" x14ac:dyDescent="0.25">
      <c r="A4" s="797"/>
      <c r="B4" s="797"/>
      <c r="C4" s="168" t="s">
        <v>9</v>
      </c>
      <c r="D4" s="168" t="s">
        <v>10</v>
      </c>
      <c r="E4" s="168" t="s">
        <v>11</v>
      </c>
      <c r="F4" s="168" t="s">
        <v>12</v>
      </c>
      <c r="G4" s="168" t="s">
        <v>20</v>
      </c>
      <c r="H4" s="168" t="s">
        <v>14</v>
      </c>
      <c r="I4" s="168" t="s">
        <v>15</v>
      </c>
      <c r="J4" s="192"/>
      <c r="K4" s="168" t="s">
        <v>16</v>
      </c>
      <c r="L4" s="168" t="s">
        <v>17</v>
      </c>
      <c r="M4" s="168" t="s">
        <v>21</v>
      </c>
      <c r="N4" s="168" t="s">
        <v>19</v>
      </c>
      <c r="O4" s="168" t="s">
        <v>194</v>
      </c>
      <c r="P4" s="793"/>
      <c r="AE4" t="s">
        <v>215</v>
      </c>
      <c r="AG4" t="s">
        <v>321</v>
      </c>
      <c r="AH4" t="s">
        <v>216</v>
      </c>
    </row>
    <row r="5" spans="1:35" ht="24.75" customHeight="1" x14ac:dyDescent="0.25">
      <c r="A5" s="769" t="s">
        <v>22</v>
      </c>
      <c r="B5" s="392" t="s">
        <v>403</v>
      </c>
      <c r="C5" s="138">
        <v>532</v>
      </c>
      <c r="D5" s="138">
        <v>468</v>
      </c>
      <c r="E5" s="138">
        <v>600</v>
      </c>
      <c r="F5" s="138">
        <v>868</v>
      </c>
      <c r="G5" s="138">
        <v>843</v>
      </c>
      <c r="H5" s="138">
        <v>1218</v>
      </c>
      <c r="I5" s="138">
        <v>976</v>
      </c>
      <c r="J5" s="138"/>
      <c r="K5" s="138">
        <v>856</v>
      </c>
      <c r="L5" s="138">
        <v>985</v>
      </c>
      <c r="M5" s="138">
        <v>992</v>
      </c>
      <c r="N5" s="138">
        <v>944</v>
      </c>
      <c r="O5" s="138">
        <v>798</v>
      </c>
      <c r="P5" s="139">
        <v>26.49024</v>
      </c>
      <c r="R5" s="138">
        <v>532</v>
      </c>
      <c r="S5" s="138">
        <v>468</v>
      </c>
      <c r="T5" s="138">
        <v>600</v>
      </c>
      <c r="U5" s="138">
        <v>868</v>
      </c>
      <c r="V5" s="138">
        <v>843</v>
      </c>
      <c r="W5" s="138">
        <v>1218</v>
      </c>
      <c r="X5" s="138">
        <v>976</v>
      </c>
      <c r="Y5" s="138"/>
      <c r="Z5" s="138">
        <v>856</v>
      </c>
      <c r="AA5" s="138">
        <v>985</v>
      </c>
      <c r="AB5" s="138">
        <v>992</v>
      </c>
      <c r="AC5" s="138">
        <v>944</v>
      </c>
      <c r="AD5" s="138">
        <v>798</v>
      </c>
      <c r="AE5">
        <f t="shared" ref="AE5:AE14" si="0">SUM(R5:AD5)</f>
        <v>10080</v>
      </c>
      <c r="AF5">
        <f>AE5*60*60*24*365</f>
        <v>317882880000</v>
      </c>
      <c r="AG5">
        <f>AF5/1000000000</f>
        <v>317.88288</v>
      </c>
      <c r="AH5" s="10">
        <f>AG5/12</f>
        <v>26.49024</v>
      </c>
    </row>
    <row r="6" spans="1:35" ht="24.75" customHeight="1" x14ac:dyDescent="0.25">
      <c r="A6" s="791"/>
      <c r="B6" s="290" t="s">
        <v>477</v>
      </c>
      <c r="C6" s="58">
        <v>1053</v>
      </c>
      <c r="D6" s="58">
        <v>657</v>
      </c>
      <c r="E6" s="58">
        <v>791</v>
      </c>
      <c r="F6" s="58">
        <v>728</v>
      </c>
      <c r="G6" s="58">
        <v>714</v>
      </c>
      <c r="H6" s="58">
        <v>665</v>
      </c>
      <c r="I6" s="58">
        <v>685</v>
      </c>
      <c r="J6" s="58"/>
      <c r="K6" s="58">
        <v>856</v>
      </c>
      <c r="L6" s="58">
        <v>917</v>
      </c>
      <c r="M6" s="58">
        <v>876</v>
      </c>
      <c r="N6" s="58">
        <v>884</v>
      </c>
      <c r="O6" s="58">
        <v>805</v>
      </c>
      <c r="P6" s="60">
        <v>25.310267999999997</v>
      </c>
      <c r="R6" s="58">
        <v>1053</v>
      </c>
      <c r="S6" s="58">
        <v>657</v>
      </c>
      <c r="T6" s="58">
        <v>791</v>
      </c>
      <c r="U6" s="58">
        <v>728</v>
      </c>
      <c r="V6" s="58">
        <v>714</v>
      </c>
      <c r="W6" s="58">
        <v>665</v>
      </c>
      <c r="X6" s="58">
        <v>685</v>
      </c>
      <c r="Y6" s="58"/>
      <c r="Z6" s="58">
        <v>856</v>
      </c>
      <c r="AA6" s="58">
        <v>917</v>
      </c>
      <c r="AB6" s="58">
        <v>876</v>
      </c>
      <c r="AC6" s="58">
        <v>884</v>
      </c>
      <c r="AD6" s="58">
        <v>805</v>
      </c>
      <c r="AE6" s="10">
        <f t="shared" si="0"/>
        <v>9631</v>
      </c>
      <c r="AF6">
        <f t="shared" ref="AF6:AF14" si="1">AE6*60*60*24*365</f>
        <v>303723216000</v>
      </c>
      <c r="AG6">
        <f t="shared" ref="AG6:AG14" si="2">AF6/1000000000</f>
        <v>303.72321599999998</v>
      </c>
      <c r="AH6" s="10">
        <f t="shared" ref="AH6:AH14" si="3">AG6/12</f>
        <v>25.310267999999997</v>
      </c>
    </row>
    <row r="7" spans="1:35" ht="24.75" customHeight="1" x14ac:dyDescent="0.25">
      <c r="A7" s="769" t="s">
        <v>23</v>
      </c>
      <c r="B7" s="392" t="s">
        <v>403</v>
      </c>
      <c r="C7" s="138">
        <v>349</v>
      </c>
      <c r="D7" s="138">
        <v>333</v>
      </c>
      <c r="E7" s="138">
        <v>393</v>
      </c>
      <c r="F7" s="138">
        <v>395</v>
      </c>
      <c r="G7" s="138">
        <v>505</v>
      </c>
      <c r="H7" s="138">
        <v>468</v>
      </c>
      <c r="I7" s="138">
        <v>538</v>
      </c>
      <c r="J7" s="138"/>
      <c r="K7" s="138">
        <v>857</v>
      </c>
      <c r="L7" s="138">
        <v>900</v>
      </c>
      <c r="M7" s="138">
        <v>855</v>
      </c>
      <c r="N7" s="138">
        <v>811</v>
      </c>
      <c r="O7" s="138">
        <v>744</v>
      </c>
      <c r="P7" s="139">
        <v>18.784943999999999</v>
      </c>
      <c r="R7" s="138">
        <v>349</v>
      </c>
      <c r="S7" s="138">
        <v>333</v>
      </c>
      <c r="T7" s="138">
        <v>393</v>
      </c>
      <c r="U7" s="138">
        <v>395</v>
      </c>
      <c r="V7" s="138">
        <v>505</v>
      </c>
      <c r="W7" s="138">
        <v>468</v>
      </c>
      <c r="X7" s="138">
        <v>538</v>
      </c>
      <c r="Y7" s="138"/>
      <c r="Z7" s="138">
        <v>857</v>
      </c>
      <c r="AA7" s="138">
        <v>900</v>
      </c>
      <c r="AB7" s="138">
        <v>855</v>
      </c>
      <c r="AC7" s="138">
        <v>811</v>
      </c>
      <c r="AD7" s="138">
        <v>744</v>
      </c>
      <c r="AE7">
        <f t="shared" si="0"/>
        <v>7148</v>
      </c>
      <c r="AF7">
        <f t="shared" si="1"/>
        <v>225419328000</v>
      </c>
      <c r="AG7">
        <f t="shared" si="2"/>
        <v>225.41932800000001</v>
      </c>
      <c r="AH7" s="10">
        <f t="shared" si="3"/>
        <v>18.784943999999999</v>
      </c>
    </row>
    <row r="8" spans="1:35" ht="24.75" customHeight="1" x14ac:dyDescent="0.25">
      <c r="A8" s="791"/>
      <c r="B8" s="290" t="s">
        <v>477</v>
      </c>
      <c r="C8" s="58">
        <v>686</v>
      </c>
      <c r="D8" s="58">
        <v>498</v>
      </c>
      <c r="E8" s="58">
        <v>550</v>
      </c>
      <c r="F8" s="58">
        <v>479</v>
      </c>
      <c r="G8" s="58">
        <v>556</v>
      </c>
      <c r="H8" s="58">
        <v>533</v>
      </c>
      <c r="I8" s="58">
        <v>606</v>
      </c>
      <c r="J8" s="58"/>
      <c r="K8" s="58">
        <v>859</v>
      </c>
      <c r="L8" s="58">
        <v>873</v>
      </c>
      <c r="M8" s="58">
        <v>791</v>
      </c>
      <c r="N8" s="58">
        <v>750</v>
      </c>
      <c r="O8" s="58">
        <v>675</v>
      </c>
      <c r="P8" s="60">
        <v>20.645568000000001</v>
      </c>
      <c r="R8" s="58">
        <v>686</v>
      </c>
      <c r="S8" s="58">
        <v>498</v>
      </c>
      <c r="T8" s="58">
        <v>550</v>
      </c>
      <c r="U8" s="58">
        <v>479</v>
      </c>
      <c r="V8" s="58">
        <v>556</v>
      </c>
      <c r="W8" s="58">
        <v>533</v>
      </c>
      <c r="X8" s="58">
        <v>606</v>
      </c>
      <c r="Y8" s="58"/>
      <c r="Z8" s="58">
        <v>859</v>
      </c>
      <c r="AA8" s="58">
        <v>873</v>
      </c>
      <c r="AB8" s="58">
        <v>791</v>
      </c>
      <c r="AC8" s="58">
        <v>750</v>
      </c>
      <c r="AD8" s="58">
        <v>675</v>
      </c>
      <c r="AE8" s="10">
        <f t="shared" si="0"/>
        <v>7856</v>
      </c>
      <c r="AF8">
        <f t="shared" si="1"/>
        <v>247746816000</v>
      </c>
      <c r="AG8">
        <f t="shared" si="2"/>
        <v>247.746816</v>
      </c>
      <c r="AH8" s="10">
        <f t="shared" si="3"/>
        <v>20.645568000000001</v>
      </c>
      <c r="AI8" s="10"/>
    </row>
    <row r="9" spans="1:35" ht="24.75" customHeight="1" x14ac:dyDescent="0.25">
      <c r="A9" s="799" t="s">
        <v>24</v>
      </c>
      <c r="B9" s="392" t="s">
        <v>403</v>
      </c>
      <c r="C9" s="138">
        <v>40</v>
      </c>
      <c r="D9" s="138">
        <v>40</v>
      </c>
      <c r="E9" s="138">
        <v>38</v>
      </c>
      <c r="F9" s="138">
        <v>40</v>
      </c>
      <c r="G9" s="138">
        <v>40</v>
      </c>
      <c r="H9" s="138">
        <v>50</v>
      </c>
      <c r="I9" s="138">
        <v>76</v>
      </c>
      <c r="J9" s="138"/>
      <c r="K9" s="138">
        <v>61</v>
      </c>
      <c r="L9" s="138">
        <v>69</v>
      </c>
      <c r="M9" s="138">
        <v>70</v>
      </c>
      <c r="N9" s="138">
        <v>70</v>
      </c>
      <c r="O9" s="138">
        <v>66</v>
      </c>
      <c r="P9" s="139">
        <v>1.7344799999999998</v>
      </c>
      <c r="R9" s="138">
        <v>40</v>
      </c>
      <c r="S9" s="138">
        <v>40</v>
      </c>
      <c r="T9" s="138">
        <v>38</v>
      </c>
      <c r="U9" s="138">
        <v>40</v>
      </c>
      <c r="V9" s="138">
        <v>40</v>
      </c>
      <c r="W9" s="138">
        <v>50</v>
      </c>
      <c r="X9" s="138">
        <v>76</v>
      </c>
      <c r="Y9" s="138"/>
      <c r="Z9" s="138">
        <v>61</v>
      </c>
      <c r="AA9" s="138">
        <v>69</v>
      </c>
      <c r="AB9" s="138">
        <v>70</v>
      </c>
      <c r="AC9" s="138">
        <v>70</v>
      </c>
      <c r="AD9" s="138">
        <v>66</v>
      </c>
      <c r="AE9">
        <f t="shared" si="0"/>
        <v>660</v>
      </c>
      <c r="AF9">
        <f t="shared" si="1"/>
        <v>20813760000</v>
      </c>
      <c r="AG9">
        <f t="shared" si="2"/>
        <v>20.813759999999998</v>
      </c>
      <c r="AH9" s="10">
        <f t="shared" si="3"/>
        <v>1.7344799999999998</v>
      </c>
    </row>
    <row r="10" spans="1:35" ht="24.75" customHeight="1" x14ac:dyDescent="0.25">
      <c r="A10" s="800"/>
      <c r="B10" s="290" t="s">
        <v>477</v>
      </c>
      <c r="C10" s="58">
        <v>56</v>
      </c>
      <c r="D10" s="58">
        <v>51</v>
      </c>
      <c r="E10" s="58">
        <v>48</v>
      </c>
      <c r="F10" s="58">
        <v>50</v>
      </c>
      <c r="G10" s="58">
        <v>50</v>
      </c>
      <c r="H10" s="58">
        <v>63</v>
      </c>
      <c r="I10" s="58">
        <v>62</v>
      </c>
      <c r="J10" s="58"/>
      <c r="K10" s="58">
        <v>67</v>
      </c>
      <c r="L10" s="58">
        <v>70</v>
      </c>
      <c r="M10" s="58">
        <v>70</v>
      </c>
      <c r="N10" s="58">
        <v>68</v>
      </c>
      <c r="O10" s="58">
        <v>64</v>
      </c>
      <c r="P10" s="60">
        <v>1.889532</v>
      </c>
      <c r="R10" s="58">
        <v>56</v>
      </c>
      <c r="S10" s="58">
        <v>51</v>
      </c>
      <c r="T10" s="58">
        <v>48</v>
      </c>
      <c r="U10" s="58">
        <v>50</v>
      </c>
      <c r="V10" s="58">
        <v>50</v>
      </c>
      <c r="W10" s="58">
        <v>63</v>
      </c>
      <c r="X10" s="58">
        <v>62</v>
      </c>
      <c r="Y10" s="58"/>
      <c r="Z10" s="58">
        <v>67</v>
      </c>
      <c r="AA10" s="58">
        <v>70</v>
      </c>
      <c r="AB10" s="58">
        <v>70</v>
      </c>
      <c r="AC10" s="58">
        <v>68</v>
      </c>
      <c r="AD10" s="58">
        <v>64</v>
      </c>
      <c r="AE10" s="10">
        <f t="shared" si="0"/>
        <v>719</v>
      </c>
      <c r="AF10">
        <f t="shared" si="1"/>
        <v>22674384000</v>
      </c>
      <c r="AG10">
        <f t="shared" si="2"/>
        <v>22.674384</v>
      </c>
      <c r="AH10" s="10">
        <f t="shared" si="3"/>
        <v>1.889532</v>
      </c>
    </row>
    <row r="11" spans="1:35" ht="24.75" customHeight="1" x14ac:dyDescent="0.25">
      <c r="A11" s="769" t="s">
        <v>219</v>
      </c>
      <c r="B11" s="392" t="s">
        <v>403</v>
      </c>
      <c r="C11" s="138">
        <v>7</v>
      </c>
      <c r="D11" s="138">
        <v>2</v>
      </c>
      <c r="E11" s="138">
        <v>5</v>
      </c>
      <c r="F11" s="138">
        <v>10</v>
      </c>
      <c r="G11" s="138">
        <v>12</v>
      </c>
      <c r="H11" s="138">
        <v>5</v>
      </c>
      <c r="I11" s="138">
        <v>5</v>
      </c>
      <c r="J11" s="138"/>
      <c r="K11" s="138">
        <v>10</v>
      </c>
      <c r="L11" s="138">
        <v>21</v>
      </c>
      <c r="M11" s="138">
        <v>20</v>
      </c>
      <c r="N11" s="138">
        <v>15</v>
      </c>
      <c r="O11" s="138">
        <v>10</v>
      </c>
      <c r="P11" s="139">
        <v>0.32061600000000001</v>
      </c>
      <c r="R11" s="138">
        <v>7</v>
      </c>
      <c r="S11" s="138">
        <v>2</v>
      </c>
      <c r="T11" s="138">
        <v>5</v>
      </c>
      <c r="U11" s="138">
        <v>10</v>
      </c>
      <c r="V11" s="138">
        <v>12</v>
      </c>
      <c r="W11" s="138">
        <v>5</v>
      </c>
      <c r="X11" s="138">
        <v>5</v>
      </c>
      <c r="Y11" s="138"/>
      <c r="Z11" s="138">
        <v>10</v>
      </c>
      <c r="AA11" s="138">
        <v>21</v>
      </c>
      <c r="AB11" s="138">
        <v>20</v>
      </c>
      <c r="AC11" s="138">
        <v>15</v>
      </c>
      <c r="AD11" s="138">
        <v>10</v>
      </c>
      <c r="AE11">
        <f t="shared" si="0"/>
        <v>122</v>
      </c>
      <c r="AF11">
        <f t="shared" si="1"/>
        <v>3847392000</v>
      </c>
      <c r="AG11">
        <f t="shared" si="2"/>
        <v>3.8473920000000001</v>
      </c>
      <c r="AH11" s="10">
        <f t="shared" si="3"/>
        <v>0.32061600000000001</v>
      </c>
    </row>
    <row r="12" spans="1:35" ht="24.75" customHeight="1" x14ac:dyDescent="0.25">
      <c r="A12" s="791"/>
      <c r="B12" s="290" t="s">
        <v>477</v>
      </c>
      <c r="C12" s="58">
        <v>10</v>
      </c>
      <c r="D12" s="58">
        <v>25</v>
      </c>
      <c r="E12" s="58">
        <v>40</v>
      </c>
      <c r="F12" s="58">
        <v>10</v>
      </c>
      <c r="G12" s="58">
        <v>7</v>
      </c>
      <c r="H12" s="58">
        <v>10</v>
      </c>
      <c r="I12" s="58">
        <v>10</v>
      </c>
      <c r="J12" s="58"/>
      <c r="K12" s="58">
        <v>5</v>
      </c>
      <c r="L12" s="58">
        <v>5</v>
      </c>
      <c r="M12" s="58">
        <v>5</v>
      </c>
      <c r="N12" s="58">
        <v>10</v>
      </c>
      <c r="O12" s="58">
        <v>10</v>
      </c>
      <c r="P12" s="60">
        <v>0.38631600000000005</v>
      </c>
      <c r="R12" s="58">
        <v>10</v>
      </c>
      <c r="S12" s="58">
        <v>25</v>
      </c>
      <c r="T12" s="58">
        <v>40</v>
      </c>
      <c r="U12" s="58">
        <v>10</v>
      </c>
      <c r="V12" s="58">
        <v>7</v>
      </c>
      <c r="W12" s="58">
        <v>10</v>
      </c>
      <c r="X12" s="58">
        <v>10</v>
      </c>
      <c r="Y12" s="58"/>
      <c r="Z12" s="58">
        <v>5</v>
      </c>
      <c r="AA12" s="58">
        <v>5</v>
      </c>
      <c r="AB12" s="58">
        <v>5</v>
      </c>
      <c r="AC12" s="58">
        <v>10</v>
      </c>
      <c r="AD12" s="58">
        <v>10</v>
      </c>
      <c r="AE12" s="10">
        <f t="shared" si="0"/>
        <v>147</v>
      </c>
      <c r="AF12">
        <f t="shared" si="1"/>
        <v>4635792000</v>
      </c>
      <c r="AG12">
        <f t="shared" si="2"/>
        <v>4.6357920000000004</v>
      </c>
      <c r="AH12" s="10">
        <f t="shared" si="3"/>
        <v>0.38631600000000005</v>
      </c>
    </row>
    <row r="13" spans="1:35" ht="24.75" customHeight="1" x14ac:dyDescent="0.25">
      <c r="A13" s="801" t="s">
        <v>248</v>
      </c>
      <c r="B13" s="392" t="s">
        <v>403</v>
      </c>
      <c r="C13" s="138">
        <v>47</v>
      </c>
      <c r="D13" s="138">
        <v>27</v>
      </c>
      <c r="E13" s="138">
        <v>74</v>
      </c>
      <c r="F13" s="138">
        <v>107</v>
      </c>
      <c r="G13" s="138">
        <v>118</v>
      </c>
      <c r="H13" s="138">
        <v>132</v>
      </c>
      <c r="I13" s="138">
        <v>39</v>
      </c>
      <c r="J13" s="138"/>
      <c r="K13" s="138">
        <v>135</v>
      </c>
      <c r="L13" s="138">
        <v>166</v>
      </c>
      <c r="M13" s="138">
        <v>175</v>
      </c>
      <c r="N13" s="138">
        <v>175</v>
      </c>
      <c r="O13" s="138">
        <v>224</v>
      </c>
      <c r="P13" s="139">
        <v>3.7291319999999999</v>
      </c>
      <c r="R13" s="138">
        <v>47</v>
      </c>
      <c r="S13" s="138">
        <v>27</v>
      </c>
      <c r="T13" s="138">
        <v>74</v>
      </c>
      <c r="U13" s="138">
        <v>107</v>
      </c>
      <c r="V13" s="138">
        <v>118</v>
      </c>
      <c r="W13" s="138">
        <v>132</v>
      </c>
      <c r="X13" s="138">
        <v>39</v>
      </c>
      <c r="Y13" s="138"/>
      <c r="Z13" s="138">
        <v>135</v>
      </c>
      <c r="AA13" s="138">
        <v>166</v>
      </c>
      <c r="AB13" s="138">
        <v>175</v>
      </c>
      <c r="AC13" s="138">
        <v>175</v>
      </c>
      <c r="AD13" s="138">
        <v>224</v>
      </c>
      <c r="AE13">
        <f t="shared" si="0"/>
        <v>1419</v>
      </c>
      <c r="AF13">
        <f t="shared" si="1"/>
        <v>44749584000</v>
      </c>
      <c r="AG13">
        <f t="shared" si="2"/>
        <v>44.749583999999999</v>
      </c>
      <c r="AH13" s="10">
        <f t="shared" si="3"/>
        <v>3.7291319999999999</v>
      </c>
    </row>
    <row r="14" spans="1:35" ht="24.75" customHeight="1" thickBot="1" x14ac:dyDescent="0.3">
      <c r="A14" s="802"/>
      <c r="B14" s="291" t="s">
        <v>477</v>
      </c>
      <c r="C14" s="59">
        <v>100</v>
      </c>
      <c r="D14" s="59">
        <v>224</v>
      </c>
      <c r="E14" s="59">
        <v>111</v>
      </c>
      <c r="F14" s="59">
        <v>108</v>
      </c>
      <c r="G14" s="59">
        <v>106</v>
      </c>
      <c r="H14" s="59">
        <v>104</v>
      </c>
      <c r="I14" s="59">
        <v>80</v>
      </c>
      <c r="J14" s="59"/>
      <c r="K14" s="59">
        <v>80</v>
      </c>
      <c r="L14" s="59">
        <v>80</v>
      </c>
      <c r="M14" s="59">
        <v>80</v>
      </c>
      <c r="N14" s="59">
        <v>80</v>
      </c>
      <c r="O14" s="59">
        <v>74</v>
      </c>
      <c r="P14" s="140">
        <v>3.2245559999999998</v>
      </c>
      <c r="R14" s="59">
        <v>100</v>
      </c>
      <c r="S14" s="59">
        <v>224</v>
      </c>
      <c r="T14" s="59">
        <v>111</v>
      </c>
      <c r="U14" s="59">
        <v>108</v>
      </c>
      <c r="V14" s="59">
        <v>106</v>
      </c>
      <c r="W14" s="59">
        <v>104</v>
      </c>
      <c r="X14" s="59">
        <v>80</v>
      </c>
      <c r="Y14" s="59"/>
      <c r="Z14" s="59">
        <v>80</v>
      </c>
      <c r="AA14" s="59">
        <v>80</v>
      </c>
      <c r="AB14" s="59">
        <v>80</v>
      </c>
      <c r="AC14" s="59">
        <v>80</v>
      </c>
      <c r="AD14" s="59">
        <v>74</v>
      </c>
      <c r="AE14" s="10">
        <f t="shared" si="0"/>
        <v>1227</v>
      </c>
      <c r="AF14">
        <f t="shared" si="1"/>
        <v>38694672000</v>
      </c>
      <c r="AG14">
        <f t="shared" si="2"/>
        <v>38.694671999999997</v>
      </c>
      <c r="AH14" s="10">
        <f t="shared" si="3"/>
        <v>3.2245559999999998</v>
      </c>
    </row>
    <row r="15" spans="1:35" ht="24.75" customHeight="1" thickTop="1" x14ac:dyDescent="0.25">
      <c r="A15" s="768" t="s">
        <v>4</v>
      </c>
      <c r="B15" s="768"/>
      <c r="C15" s="768"/>
      <c r="D15" s="768"/>
      <c r="E15" s="768"/>
      <c r="F15" s="768"/>
      <c r="G15" s="768"/>
      <c r="H15" s="768"/>
      <c r="I15" s="768"/>
      <c r="J15" s="768"/>
      <c r="K15" s="768"/>
      <c r="L15" s="109"/>
      <c r="M15" s="109"/>
      <c r="N15" s="109"/>
      <c r="O15" s="109"/>
      <c r="P15" s="109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5" ht="24.75" customHeight="1" x14ac:dyDescent="0.25">
      <c r="A16" s="768"/>
      <c r="B16" s="768"/>
      <c r="C16" s="768"/>
      <c r="D16" s="768"/>
      <c r="E16" s="768"/>
      <c r="F16" s="768"/>
      <c r="G16" s="768"/>
      <c r="H16" s="768"/>
      <c r="I16" s="768"/>
      <c r="J16" s="768"/>
      <c r="K16" s="768"/>
      <c r="L16" s="11"/>
      <c r="M16" s="11"/>
      <c r="N16" s="11"/>
      <c r="O16" s="11"/>
      <c r="P16" s="13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4" ht="24.75" customHeight="1" x14ac:dyDescent="0.25">
      <c r="A17" s="803"/>
      <c r="B17" s="803"/>
      <c r="C17" s="803"/>
      <c r="D17" s="803"/>
      <c r="E17" s="803"/>
      <c r="F17" s="803"/>
      <c r="G17" s="803"/>
      <c r="H17" s="803"/>
      <c r="I17" s="803"/>
      <c r="J17" s="187"/>
      <c r="K17" s="11"/>
      <c r="L17" s="11"/>
      <c r="M17" s="11"/>
      <c r="N17" s="11"/>
      <c r="O17" s="11"/>
      <c r="P17" s="13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>AE17/1000000000</f>
        <v>0</v>
      </c>
      <c r="AH17">
        <f>AG17/12</f>
        <v>0</v>
      </c>
    </row>
    <row r="18" spans="1:34" ht="24.75" customHeight="1" x14ac:dyDescent="0.25">
      <c r="A18" s="508"/>
      <c r="B18" s="508"/>
      <c r="C18" s="508"/>
      <c r="D18" s="508"/>
      <c r="E18" s="508"/>
      <c r="F18" s="508"/>
      <c r="G18" s="508"/>
      <c r="H18" s="508"/>
      <c r="I18" s="508"/>
      <c r="J18" s="508"/>
      <c r="K18" s="11"/>
      <c r="L18" s="11"/>
      <c r="M18" s="11"/>
      <c r="N18" s="11"/>
      <c r="O18" s="11"/>
      <c r="P18" s="1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4" ht="24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4" ht="24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>
        <f>AE20/1000000000</f>
        <v>0</v>
      </c>
      <c r="AH20">
        <f>AG20/12</f>
        <v>0</v>
      </c>
    </row>
    <row r="21" spans="1:34" ht="24.75" customHeight="1" x14ac:dyDescent="0.25">
      <c r="A21" s="787" t="s">
        <v>228</v>
      </c>
      <c r="B21" s="787"/>
      <c r="C21" s="787"/>
      <c r="D21" s="787"/>
      <c r="E21" s="104"/>
      <c r="F21" s="104"/>
      <c r="G21" s="798"/>
      <c r="H21" s="798"/>
      <c r="I21" s="798"/>
      <c r="J21" s="186"/>
      <c r="K21" s="104"/>
      <c r="L21" s="104"/>
      <c r="M21" s="104"/>
      <c r="N21" s="104"/>
      <c r="O21" s="104"/>
      <c r="P21" s="43">
        <v>18</v>
      </c>
      <c r="Q21" s="15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325"/>
      <c r="AE21" s="7"/>
      <c r="AF21" s="465"/>
      <c r="AH21" s="9"/>
    </row>
    <row r="22" spans="1:34" x14ac:dyDescent="0.25"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>AE22/1000000000</f>
        <v>0</v>
      </c>
      <c r="AH22">
        <f>AG22/12</f>
        <v>0</v>
      </c>
    </row>
    <row r="23" spans="1:34" ht="15.75" thickBot="1" x14ac:dyDescent="0.3"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4" ht="15.75" thickTop="1" x14ac:dyDescent="0.25">
      <c r="G24" s="10">
        <f>P6+P7+P9+P11+P13</f>
        <v>49.879439999999995</v>
      </c>
      <c r="K24" s="10">
        <f>P6+P8+P10+P12+P14</f>
        <v>51.456240000000001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>AE24/1000000000</f>
        <v>0</v>
      </c>
      <c r="AH24">
        <f>AG24/12</f>
        <v>0</v>
      </c>
    </row>
    <row r="26" spans="1:34" x14ac:dyDescent="0.25">
      <c r="B26" s="10"/>
    </row>
    <row r="31" spans="1:34" x14ac:dyDescent="0.25">
      <c r="A31" s="804" t="s">
        <v>22</v>
      </c>
      <c r="B31" s="164" t="s">
        <v>230</v>
      </c>
      <c r="C31" s="138">
        <v>634</v>
      </c>
      <c r="D31" s="138">
        <v>597</v>
      </c>
      <c r="E31" s="138">
        <v>558</v>
      </c>
      <c r="F31" s="138">
        <v>637</v>
      </c>
      <c r="G31" s="138">
        <v>772</v>
      </c>
      <c r="H31" s="138">
        <v>668</v>
      </c>
      <c r="I31" s="138">
        <v>652</v>
      </c>
      <c r="J31" s="138"/>
      <c r="K31" s="138">
        <v>682</v>
      </c>
      <c r="L31" s="138">
        <v>746</v>
      </c>
      <c r="M31" s="138">
        <v>723</v>
      </c>
      <c r="N31" s="138">
        <v>618</v>
      </c>
      <c r="O31" s="138">
        <v>694</v>
      </c>
      <c r="P31" s="139"/>
    </row>
    <row r="32" spans="1:34" x14ac:dyDescent="0.25">
      <c r="A32" s="804"/>
      <c r="B32" s="48"/>
      <c r="C32" s="109">
        <f>C31*60*60*24*365</f>
        <v>19993824000</v>
      </c>
      <c r="D32" s="109">
        <f t="shared" ref="D32:O32" si="4">D31*60*60*24*365</f>
        <v>18826992000</v>
      </c>
      <c r="E32" s="109">
        <f t="shared" si="4"/>
        <v>17597088000</v>
      </c>
      <c r="F32" s="109">
        <f t="shared" si="4"/>
        <v>20088432000</v>
      </c>
      <c r="G32" s="109">
        <f t="shared" si="4"/>
        <v>24345792000</v>
      </c>
      <c r="H32" s="109">
        <f t="shared" si="4"/>
        <v>21066048000</v>
      </c>
      <c r="I32" s="109">
        <f t="shared" si="4"/>
        <v>20561472000</v>
      </c>
      <c r="J32" s="109">
        <f t="shared" si="4"/>
        <v>0</v>
      </c>
      <c r="K32" s="109">
        <f t="shared" si="4"/>
        <v>21507552000</v>
      </c>
      <c r="L32" s="109">
        <f t="shared" si="4"/>
        <v>23525856000</v>
      </c>
      <c r="M32" s="109">
        <f t="shared" si="4"/>
        <v>22800528000</v>
      </c>
      <c r="N32" s="109">
        <f t="shared" si="4"/>
        <v>19489248000</v>
      </c>
      <c r="O32" s="109">
        <f t="shared" si="4"/>
        <v>21885984000</v>
      </c>
      <c r="P32" s="136">
        <f>SUM(C32:O32)</f>
        <v>251688816000</v>
      </c>
      <c r="Q32" s="137">
        <f>P32/1000000000</f>
        <v>251.688816</v>
      </c>
      <c r="R32" s="10">
        <f>Q32/12</f>
        <v>20.974067999999999</v>
      </c>
    </row>
    <row r="33" spans="1:18" x14ac:dyDescent="0.25">
      <c r="A33" s="800"/>
      <c r="B33" s="16" t="s">
        <v>235</v>
      </c>
      <c r="C33" s="58">
        <v>721</v>
      </c>
      <c r="D33" s="58">
        <v>631</v>
      </c>
      <c r="E33" s="58">
        <v>621</v>
      </c>
      <c r="F33" s="58">
        <v>667</v>
      </c>
      <c r="G33" s="58">
        <v>707</v>
      </c>
      <c r="H33" s="58">
        <v>660</v>
      </c>
      <c r="I33" s="58">
        <v>671</v>
      </c>
      <c r="J33" s="58"/>
      <c r="K33" s="58">
        <v>682</v>
      </c>
      <c r="L33" s="58">
        <v>643</v>
      </c>
      <c r="M33" s="58">
        <v>730</v>
      </c>
      <c r="N33" s="58">
        <v>621</v>
      </c>
      <c r="O33" s="58">
        <v>693</v>
      </c>
      <c r="P33" s="60"/>
      <c r="R33" s="10"/>
    </row>
    <row r="34" spans="1:18" x14ac:dyDescent="0.25">
      <c r="A34" s="188"/>
      <c r="B34" s="48"/>
      <c r="C34" s="109">
        <f t="shared" ref="C34:O36" si="5">C33*60*60*24*365</f>
        <v>22737456000</v>
      </c>
      <c r="D34" s="109">
        <f t="shared" si="5"/>
        <v>19899216000</v>
      </c>
      <c r="E34" s="109">
        <f t="shared" si="5"/>
        <v>19583856000</v>
      </c>
      <c r="F34" s="109">
        <f t="shared" si="5"/>
        <v>21034512000</v>
      </c>
      <c r="G34" s="109">
        <f t="shared" si="5"/>
        <v>22295952000</v>
      </c>
      <c r="H34" s="109">
        <f t="shared" si="5"/>
        <v>20813760000</v>
      </c>
      <c r="I34" s="109">
        <f t="shared" si="5"/>
        <v>21160656000</v>
      </c>
      <c r="J34" s="109">
        <f t="shared" si="5"/>
        <v>0</v>
      </c>
      <c r="K34" s="109">
        <f t="shared" si="5"/>
        <v>21507552000</v>
      </c>
      <c r="L34" s="109">
        <f t="shared" si="5"/>
        <v>20277648000</v>
      </c>
      <c r="M34" s="109">
        <f t="shared" si="5"/>
        <v>23021280000</v>
      </c>
      <c r="N34" s="109">
        <f t="shared" si="5"/>
        <v>19583856000</v>
      </c>
      <c r="O34" s="109">
        <f t="shared" si="5"/>
        <v>21854448000</v>
      </c>
      <c r="P34" s="136">
        <f>SUM(C34:O34)</f>
        <v>253770192000</v>
      </c>
      <c r="Q34" s="137">
        <f>P34/1000000000</f>
        <v>253.77019200000001</v>
      </c>
      <c r="R34" s="193">
        <f>Q34/12</f>
        <v>21.147516</v>
      </c>
    </row>
    <row r="35" spans="1:18" x14ac:dyDescent="0.25">
      <c r="A35" s="769" t="s">
        <v>23</v>
      </c>
      <c r="B35" s="164" t="s">
        <v>230</v>
      </c>
      <c r="C35" s="138">
        <v>366</v>
      </c>
      <c r="D35" s="138">
        <v>360</v>
      </c>
      <c r="E35" s="138">
        <v>338</v>
      </c>
      <c r="F35" s="138">
        <v>357</v>
      </c>
      <c r="G35" s="138">
        <v>515</v>
      </c>
      <c r="H35" s="138">
        <v>460</v>
      </c>
      <c r="I35" s="138">
        <v>622</v>
      </c>
      <c r="J35" s="138"/>
      <c r="K35" s="138">
        <v>789</v>
      </c>
      <c r="L35" s="138">
        <v>761</v>
      </c>
      <c r="M35" s="138">
        <v>694</v>
      </c>
      <c r="N35" s="138">
        <v>630</v>
      </c>
      <c r="O35" s="137">
        <v>673</v>
      </c>
      <c r="P35" s="139"/>
      <c r="R35" s="10"/>
    </row>
    <row r="36" spans="1:18" x14ac:dyDescent="0.25">
      <c r="A36" s="804"/>
      <c r="B36" s="48"/>
      <c r="C36" s="109">
        <f t="shared" si="5"/>
        <v>11542176000</v>
      </c>
      <c r="D36" s="109">
        <f t="shared" ref="D36" si="6">D35*60*60*24*365</f>
        <v>11352960000</v>
      </c>
      <c r="E36" s="109">
        <f t="shared" ref="E36" si="7">E35*60*60*24*365</f>
        <v>10659168000</v>
      </c>
      <c r="F36" s="109">
        <f t="shared" ref="F36" si="8">F35*60*60*24*365</f>
        <v>11258352000</v>
      </c>
      <c r="G36" s="109">
        <f t="shared" ref="G36" si="9">G35*60*60*24*365</f>
        <v>16241040000</v>
      </c>
      <c r="H36" s="109">
        <f t="shared" ref="H36" si="10">H35*60*60*24*365</f>
        <v>14506560000</v>
      </c>
      <c r="I36" s="109">
        <f t="shared" ref="I36" si="11">I35*60*60*24*365</f>
        <v>19615392000</v>
      </c>
      <c r="J36" s="109">
        <f t="shared" ref="J36" si="12">J35*60*60*24*365</f>
        <v>0</v>
      </c>
      <c r="K36" s="109">
        <f t="shared" ref="K36" si="13">K35*60*60*24*365</f>
        <v>24881904000</v>
      </c>
      <c r="L36" s="109">
        <f t="shared" ref="L36" si="14">L35*60*60*24*365</f>
        <v>23998896000</v>
      </c>
      <c r="M36" s="109">
        <f t="shared" ref="M36" si="15">M35*60*60*24*365</f>
        <v>21885984000</v>
      </c>
      <c r="N36" s="109">
        <f t="shared" ref="N36" si="16">N35*60*60*24*365</f>
        <v>19867680000</v>
      </c>
      <c r="O36" s="109">
        <f t="shared" ref="O36" si="17">O35*60*60*24*365</f>
        <v>21223728000</v>
      </c>
      <c r="P36" s="136">
        <f>SUM(C36:O36)</f>
        <v>207033840000</v>
      </c>
      <c r="Q36" s="137">
        <f>P36/1000000000</f>
        <v>207.03384</v>
      </c>
      <c r="R36" s="10">
        <f>Q36/12</f>
        <v>17.25282</v>
      </c>
    </row>
    <row r="37" spans="1:18" x14ac:dyDescent="0.25">
      <c r="A37" s="791"/>
      <c r="B37" s="16" t="s">
        <v>235</v>
      </c>
      <c r="C37" s="58">
        <v>486</v>
      </c>
      <c r="D37" s="58">
        <v>403</v>
      </c>
      <c r="E37" s="58">
        <v>407</v>
      </c>
      <c r="F37" s="58">
        <v>387</v>
      </c>
      <c r="G37" s="58">
        <v>365</v>
      </c>
      <c r="H37" s="58">
        <v>289</v>
      </c>
      <c r="I37" s="58">
        <v>310</v>
      </c>
      <c r="J37" s="58"/>
      <c r="K37" s="58">
        <v>397</v>
      </c>
      <c r="L37" s="58">
        <v>388</v>
      </c>
      <c r="M37" s="58">
        <v>389</v>
      </c>
      <c r="N37" s="58">
        <v>326</v>
      </c>
      <c r="O37" s="58">
        <v>570</v>
      </c>
      <c r="P37" s="60"/>
      <c r="R37" s="10"/>
    </row>
    <row r="38" spans="1:18" x14ac:dyDescent="0.25">
      <c r="A38" s="188"/>
      <c r="B38" s="48"/>
      <c r="C38" s="109">
        <f t="shared" ref="C38" si="18">C37*60*60*24*365</f>
        <v>15326496000</v>
      </c>
      <c r="D38" s="109">
        <f t="shared" ref="D38" si="19">D37*60*60*24*365</f>
        <v>12709008000</v>
      </c>
      <c r="E38" s="109">
        <f t="shared" ref="E38" si="20">E37*60*60*24*365</f>
        <v>12835152000</v>
      </c>
      <c r="F38" s="109">
        <f t="shared" ref="F38" si="21">F37*60*60*24*365</f>
        <v>12204432000</v>
      </c>
      <c r="G38" s="109">
        <f t="shared" ref="G38" si="22">G37*60*60*24*365</f>
        <v>11510640000</v>
      </c>
      <c r="H38" s="109">
        <f t="shared" ref="H38" si="23">H37*60*60*24*365</f>
        <v>9113904000</v>
      </c>
      <c r="I38" s="109">
        <f t="shared" ref="I38" si="24">I37*60*60*24*365</f>
        <v>9776160000</v>
      </c>
      <c r="J38" s="109">
        <f t="shared" ref="J38" si="25">J37*60*60*24*365</f>
        <v>0</v>
      </c>
      <c r="K38" s="109">
        <f t="shared" ref="K38" si="26">K37*60*60*24*365</f>
        <v>12519792000</v>
      </c>
      <c r="L38" s="109">
        <f t="shared" ref="L38" si="27">L37*60*60*24*365</f>
        <v>12235968000</v>
      </c>
      <c r="M38" s="109">
        <f t="shared" ref="M38" si="28">M37*60*60*24*365</f>
        <v>12267504000</v>
      </c>
      <c r="N38" s="109">
        <f t="shared" ref="N38" si="29">N37*60*60*24*365</f>
        <v>10280736000</v>
      </c>
      <c r="O38" s="109">
        <f t="shared" ref="O38" si="30">O37*60*60*24*365</f>
        <v>17975520000</v>
      </c>
      <c r="P38" s="136">
        <f>SUM(C38:O38)</f>
        <v>148755312000</v>
      </c>
      <c r="Q38" s="137">
        <f>P38/1000000000</f>
        <v>148.755312</v>
      </c>
      <c r="R38" s="10">
        <f>Q38/12</f>
        <v>12.396276</v>
      </c>
    </row>
    <row r="39" spans="1:18" x14ac:dyDescent="0.25">
      <c r="A39" s="799" t="s">
        <v>24</v>
      </c>
      <c r="B39" s="164" t="s">
        <v>230</v>
      </c>
      <c r="C39" s="138">
        <v>65</v>
      </c>
      <c r="D39" s="138">
        <v>62</v>
      </c>
      <c r="E39" s="138">
        <v>50</v>
      </c>
      <c r="F39" s="138">
        <v>40</v>
      </c>
      <c r="G39" s="138">
        <v>40</v>
      </c>
      <c r="H39" s="138">
        <v>52</v>
      </c>
      <c r="I39" s="138">
        <v>36</v>
      </c>
      <c r="J39" s="138"/>
      <c r="K39" s="138">
        <v>60</v>
      </c>
      <c r="L39" s="138">
        <v>70</v>
      </c>
      <c r="M39" s="138">
        <v>70</v>
      </c>
      <c r="N39" s="138">
        <v>52</v>
      </c>
      <c r="O39" s="138">
        <v>54</v>
      </c>
      <c r="P39" s="139"/>
      <c r="R39" s="10"/>
    </row>
    <row r="40" spans="1:18" x14ac:dyDescent="0.25">
      <c r="A40" s="804"/>
      <c r="B40" s="48"/>
      <c r="C40" s="109">
        <f t="shared" ref="C40" si="31">C39*60*60*24*365</f>
        <v>2049840000</v>
      </c>
      <c r="D40" s="109">
        <f t="shared" ref="D40" si="32">D39*60*60*24*365</f>
        <v>1955232000</v>
      </c>
      <c r="E40" s="109">
        <f t="shared" ref="E40" si="33">E39*60*60*24*365</f>
        <v>1576800000</v>
      </c>
      <c r="F40" s="109">
        <f t="shared" ref="F40" si="34">F39*60*60*24*365</f>
        <v>1261440000</v>
      </c>
      <c r="G40" s="109">
        <f t="shared" ref="G40" si="35">G39*60*60*24*365</f>
        <v>1261440000</v>
      </c>
      <c r="H40" s="109">
        <f t="shared" ref="H40" si="36">H39*60*60*24*365</f>
        <v>1639872000</v>
      </c>
      <c r="I40" s="109">
        <f t="shared" ref="I40" si="37">I39*60*60*24*365</f>
        <v>1135296000</v>
      </c>
      <c r="J40" s="109">
        <f t="shared" ref="J40" si="38">J39*60*60*24*365</f>
        <v>0</v>
      </c>
      <c r="K40" s="109">
        <f t="shared" ref="K40" si="39">K39*60*60*24*365</f>
        <v>1892160000</v>
      </c>
      <c r="L40" s="109">
        <f t="shared" ref="L40" si="40">L39*60*60*24*365</f>
        <v>2207520000</v>
      </c>
      <c r="M40" s="109">
        <f t="shared" ref="M40" si="41">M39*60*60*24*365</f>
        <v>2207520000</v>
      </c>
      <c r="N40" s="109">
        <f t="shared" ref="N40" si="42">N39*60*60*24*365</f>
        <v>1639872000</v>
      </c>
      <c r="O40" s="109">
        <f t="shared" ref="O40" si="43">O39*60*60*24*365</f>
        <v>1702944000</v>
      </c>
      <c r="P40" s="136">
        <f>SUM(C40:O40)</f>
        <v>20529936000</v>
      </c>
      <c r="Q40" s="137">
        <f>P40/1000000000</f>
        <v>20.529935999999999</v>
      </c>
      <c r="R40" s="10">
        <f>Q40/12</f>
        <v>1.710828</v>
      </c>
    </row>
    <row r="41" spans="1:18" x14ac:dyDescent="0.25">
      <c r="A41" s="800"/>
      <c r="B41" s="16" t="s">
        <v>235</v>
      </c>
      <c r="C41" s="58">
        <v>49</v>
      </c>
      <c r="D41" s="58">
        <v>59</v>
      </c>
      <c r="E41" s="58">
        <v>66</v>
      </c>
      <c r="F41" s="58">
        <v>63</v>
      </c>
      <c r="G41" s="58">
        <v>50</v>
      </c>
      <c r="H41" s="58">
        <v>39</v>
      </c>
      <c r="I41" s="58">
        <v>40</v>
      </c>
      <c r="J41" s="58"/>
      <c r="K41" s="58">
        <v>40</v>
      </c>
      <c r="L41" s="58">
        <v>37</v>
      </c>
      <c r="M41" s="58">
        <v>35</v>
      </c>
      <c r="N41" s="58">
        <v>35</v>
      </c>
      <c r="O41" s="58">
        <v>54</v>
      </c>
      <c r="P41" s="60"/>
      <c r="R41" s="10"/>
    </row>
    <row r="42" spans="1:18" x14ac:dyDescent="0.25">
      <c r="A42" s="188"/>
      <c r="B42" s="48"/>
      <c r="C42" s="109">
        <f t="shared" ref="C42" si="44">C41*60*60*24*365</f>
        <v>1545264000</v>
      </c>
      <c r="D42" s="109">
        <f t="shared" ref="D42" si="45">D41*60*60*24*365</f>
        <v>1860624000</v>
      </c>
      <c r="E42" s="109">
        <f t="shared" ref="E42" si="46">E41*60*60*24*365</f>
        <v>2081376000</v>
      </c>
      <c r="F42" s="109">
        <f t="shared" ref="F42" si="47">F41*60*60*24*365</f>
        <v>1986768000</v>
      </c>
      <c r="G42" s="109">
        <f t="shared" ref="G42" si="48">G41*60*60*24*365</f>
        <v>1576800000</v>
      </c>
      <c r="H42" s="109">
        <f t="shared" ref="H42" si="49">H41*60*60*24*365</f>
        <v>1229904000</v>
      </c>
      <c r="I42" s="109">
        <f t="shared" ref="I42" si="50">I41*60*60*24*365</f>
        <v>1261440000</v>
      </c>
      <c r="J42" s="109">
        <f t="shared" ref="J42" si="51">J41*60*60*24*365</f>
        <v>0</v>
      </c>
      <c r="K42" s="109">
        <f t="shared" ref="K42" si="52">K41*60*60*24*365</f>
        <v>1261440000</v>
      </c>
      <c r="L42" s="109">
        <f t="shared" ref="L42" si="53">L41*60*60*24*365</f>
        <v>1166832000</v>
      </c>
      <c r="M42" s="109">
        <f t="shared" ref="M42" si="54">M41*60*60*24*365</f>
        <v>1103760000</v>
      </c>
      <c r="N42" s="109">
        <f t="shared" ref="N42" si="55">N41*60*60*24*365</f>
        <v>1103760000</v>
      </c>
      <c r="O42" s="109">
        <f t="shared" ref="O42" si="56">O41*60*60*24*365</f>
        <v>1702944000</v>
      </c>
      <c r="P42" s="136">
        <f>SUM(C42:O42)</f>
        <v>17880912000</v>
      </c>
      <c r="Q42" s="137">
        <f>P42/1000000000</f>
        <v>17.880911999999999</v>
      </c>
      <c r="R42" s="10">
        <f>Q42/12</f>
        <v>1.490076</v>
      </c>
    </row>
    <row r="43" spans="1:18" x14ac:dyDescent="0.25">
      <c r="A43" s="769" t="s">
        <v>219</v>
      </c>
      <c r="B43" s="164" t="s">
        <v>230</v>
      </c>
      <c r="C43" s="138">
        <v>15</v>
      </c>
      <c r="D43" s="138">
        <v>15</v>
      </c>
      <c r="E43" s="138">
        <v>25</v>
      </c>
      <c r="F43" s="138">
        <v>57</v>
      </c>
      <c r="G43" s="138">
        <v>41</v>
      </c>
      <c r="H43" s="138">
        <v>26</v>
      </c>
      <c r="I43" s="138">
        <v>20</v>
      </c>
      <c r="J43" s="138"/>
      <c r="K43" s="138">
        <v>20</v>
      </c>
      <c r="L43" s="138">
        <v>20</v>
      </c>
      <c r="M43" s="138">
        <v>20</v>
      </c>
      <c r="N43" s="138">
        <v>15</v>
      </c>
      <c r="O43" s="138">
        <v>20</v>
      </c>
      <c r="P43" s="139"/>
      <c r="R43" s="10"/>
    </row>
    <row r="44" spans="1:18" x14ac:dyDescent="0.25">
      <c r="A44" s="804"/>
      <c r="B44" s="48"/>
      <c r="C44" s="109">
        <f t="shared" ref="C44" si="57">C43*60*60*24*365</f>
        <v>473040000</v>
      </c>
      <c r="D44" s="109">
        <f t="shared" ref="D44" si="58">D43*60*60*24*365</f>
        <v>473040000</v>
      </c>
      <c r="E44" s="109">
        <f t="shared" ref="E44" si="59">E43*60*60*24*365</f>
        <v>788400000</v>
      </c>
      <c r="F44" s="109">
        <f t="shared" ref="F44" si="60">F43*60*60*24*365</f>
        <v>1797552000</v>
      </c>
      <c r="G44" s="109">
        <f t="shared" ref="G44" si="61">G43*60*60*24*365</f>
        <v>1292976000</v>
      </c>
      <c r="H44" s="109">
        <f t="shared" ref="H44" si="62">H43*60*60*24*365</f>
        <v>819936000</v>
      </c>
      <c r="I44" s="109">
        <f t="shared" ref="I44" si="63">I43*60*60*24*365</f>
        <v>630720000</v>
      </c>
      <c r="J44" s="109">
        <f t="shared" ref="J44" si="64">J43*60*60*24*365</f>
        <v>0</v>
      </c>
      <c r="K44" s="109">
        <f t="shared" ref="K44" si="65">K43*60*60*24*365</f>
        <v>630720000</v>
      </c>
      <c r="L44" s="109">
        <f t="shared" ref="L44" si="66">L43*60*60*24*365</f>
        <v>630720000</v>
      </c>
      <c r="M44" s="109">
        <f t="shared" ref="M44" si="67">M43*60*60*24*365</f>
        <v>630720000</v>
      </c>
      <c r="N44" s="109">
        <f t="shared" ref="N44" si="68">N43*60*60*24*365</f>
        <v>473040000</v>
      </c>
      <c r="O44" s="109">
        <f t="shared" ref="O44" si="69">O43*60*60*24*365</f>
        <v>630720000</v>
      </c>
      <c r="P44" s="136">
        <f>SUM(C44:O44)</f>
        <v>9271584000</v>
      </c>
      <c r="Q44" s="137">
        <f>P44/1000000000</f>
        <v>9.2715840000000007</v>
      </c>
      <c r="R44" s="10">
        <f>Q44/12</f>
        <v>0.7726320000000001</v>
      </c>
    </row>
    <row r="45" spans="1:18" x14ac:dyDescent="0.25">
      <c r="A45" s="791"/>
      <c r="B45" s="16" t="s">
        <v>235</v>
      </c>
      <c r="C45" s="58">
        <v>84</v>
      </c>
      <c r="D45" s="58">
        <v>21</v>
      </c>
      <c r="E45" s="58">
        <v>3</v>
      </c>
      <c r="F45" s="58">
        <v>8</v>
      </c>
      <c r="G45" s="58">
        <v>13</v>
      </c>
      <c r="H45" s="58">
        <v>13</v>
      </c>
      <c r="I45" s="58">
        <v>8</v>
      </c>
      <c r="J45" s="58"/>
      <c r="K45" s="58">
        <v>5</v>
      </c>
      <c r="L45" s="58">
        <v>5</v>
      </c>
      <c r="M45" s="58">
        <v>15</v>
      </c>
      <c r="N45" s="58">
        <v>33</v>
      </c>
      <c r="O45" s="58">
        <v>20</v>
      </c>
      <c r="P45" s="60"/>
      <c r="R45" s="10"/>
    </row>
    <row r="46" spans="1:18" x14ac:dyDescent="0.25">
      <c r="A46" s="188"/>
      <c r="B46" s="48"/>
      <c r="C46" s="109">
        <f t="shared" ref="C46" si="70">C45*60*60*24*365</f>
        <v>2649024000</v>
      </c>
      <c r="D46" s="109">
        <f t="shared" ref="D46" si="71">D45*60*60*24*365</f>
        <v>662256000</v>
      </c>
      <c r="E46" s="109">
        <f t="shared" ref="E46" si="72">E45*60*60*24*365</f>
        <v>94608000</v>
      </c>
      <c r="F46" s="109">
        <f t="shared" ref="F46" si="73">F45*60*60*24*365</f>
        <v>252288000</v>
      </c>
      <c r="G46" s="109">
        <f t="shared" ref="G46" si="74">G45*60*60*24*365</f>
        <v>409968000</v>
      </c>
      <c r="H46" s="109">
        <f t="shared" ref="H46" si="75">H45*60*60*24*365</f>
        <v>409968000</v>
      </c>
      <c r="I46" s="109">
        <f t="shared" ref="I46" si="76">I45*60*60*24*365</f>
        <v>252288000</v>
      </c>
      <c r="J46" s="109">
        <f t="shared" ref="J46" si="77">J45*60*60*24*365</f>
        <v>0</v>
      </c>
      <c r="K46" s="109">
        <f t="shared" ref="K46" si="78">K45*60*60*24*365</f>
        <v>157680000</v>
      </c>
      <c r="L46" s="109">
        <f t="shared" ref="L46" si="79">L45*60*60*24*365</f>
        <v>157680000</v>
      </c>
      <c r="M46" s="109">
        <f t="shared" ref="M46" si="80">M45*60*60*24*365</f>
        <v>473040000</v>
      </c>
      <c r="N46" s="109">
        <f t="shared" ref="N46" si="81">N45*60*60*24*365</f>
        <v>1040688000</v>
      </c>
      <c r="O46" s="109">
        <f t="shared" ref="O46" si="82">O45*60*60*24*365</f>
        <v>630720000</v>
      </c>
      <c r="P46" s="136">
        <f>SUM(C46:O46)</f>
        <v>7190208000</v>
      </c>
      <c r="Q46" s="137">
        <f>P46/1000000000</f>
        <v>7.1902080000000002</v>
      </c>
      <c r="R46" s="10">
        <f>Q46/12</f>
        <v>0.59918400000000005</v>
      </c>
    </row>
    <row r="47" spans="1:18" x14ac:dyDescent="0.25">
      <c r="A47" s="801" t="s">
        <v>234</v>
      </c>
      <c r="B47" s="164" t="s">
        <v>230</v>
      </c>
      <c r="C47" s="138">
        <v>33</v>
      </c>
      <c r="D47" s="138">
        <v>46</v>
      </c>
      <c r="E47" s="138">
        <v>59</v>
      </c>
      <c r="F47" s="138">
        <v>67</v>
      </c>
      <c r="G47" s="138">
        <v>112</v>
      </c>
      <c r="H47" s="138">
        <v>89</v>
      </c>
      <c r="I47" s="138">
        <v>66</v>
      </c>
      <c r="J47" s="138"/>
      <c r="K47" s="138">
        <v>71</v>
      </c>
      <c r="L47" s="138">
        <v>69</v>
      </c>
      <c r="M47" s="138">
        <v>73</v>
      </c>
      <c r="N47" s="138">
        <v>68</v>
      </c>
      <c r="O47" s="138">
        <v>49</v>
      </c>
      <c r="P47" s="139"/>
    </row>
    <row r="48" spans="1:18" x14ac:dyDescent="0.25">
      <c r="A48" s="805"/>
      <c r="B48" s="48"/>
      <c r="C48" s="109">
        <f t="shared" ref="C48" si="83">C47*60*60*24*365</f>
        <v>1040688000</v>
      </c>
      <c r="D48" s="109">
        <f t="shared" ref="D48" si="84">D47*60*60*24*365</f>
        <v>1450656000</v>
      </c>
      <c r="E48" s="109">
        <f t="shared" ref="E48" si="85">E47*60*60*24*365</f>
        <v>1860624000</v>
      </c>
      <c r="F48" s="109">
        <f t="shared" ref="F48" si="86">F47*60*60*24*365</f>
        <v>2112912000</v>
      </c>
      <c r="G48" s="109">
        <f t="shared" ref="G48" si="87">G47*60*60*24*365</f>
        <v>3532032000</v>
      </c>
      <c r="H48" s="109">
        <f t="shared" ref="H48" si="88">H47*60*60*24*365</f>
        <v>2806704000</v>
      </c>
      <c r="I48" s="109">
        <f t="shared" ref="I48" si="89">I47*60*60*24*365</f>
        <v>2081376000</v>
      </c>
      <c r="J48" s="109">
        <f t="shared" ref="J48" si="90">J47*60*60*24*365</f>
        <v>0</v>
      </c>
      <c r="K48" s="109">
        <f t="shared" ref="K48" si="91">K47*60*60*24*365</f>
        <v>2239056000</v>
      </c>
      <c r="L48" s="109">
        <f t="shared" ref="L48" si="92">L47*60*60*24*365</f>
        <v>2175984000</v>
      </c>
      <c r="M48" s="109">
        <f t="shared" ref="M48" si="93">M47*60*60*24*365</f>
        <v>2302128000</v>
      </c>
      <c r="N48" s="109">
        <f t="shared" ref="N48" si="94">N47*60*60*24*365</f>
        <v>2144448000</v>
      </c>
      <c r="O48" s="109">
        <f t="shared" ref="O48" si="95">O47*60*60*24*365</f>
        <v>1545264000</v>
      </c>
      <c r="P48" s="136">
        <f>SUM(C48:O48)</f>
        <v>25291872000</v>
      </c>
      <c r="Q48" s="137">
        <f>P48/1000000000</f>
        <v>25.291872000000001</v>
      </c>
      <c r="R48" s="10">
        <f>Q48/12</f>
        <v>2.107656</v>
      </c>
    </row>
    <row r="49" spans="1:18" ht="15.75" thickBot="1" x14ac:dyDescent="0.3">
      <c r="A49" s="802"/>
      <c r="B49" s="5" t="s">
        <v>235</v>
      </c>
      <c r="C49" s="59">
        <v>48</v>
      </c>
      <c r="D49" s="59">
        <v>44</v>
      </c>
      <c r="E49" s="59">
        <v>38</v>
      </c>
      <c r="F49" s="59">
        <v>54</v>
      </c>
      <c r="G49" s="59">
        <v>53</v>
      </c>
      <c r="H49" s="59">
        <v>55</v>
      </c>
      <c r="I49" s="59">
        <v>47</v>
      </c>
      <c r="J49" s="59"/>
      <c r="K49" s="59">
        <v>45</v>
      </c>
      <c r="L49" s="59">
        <v>48</v>
      </c>
      <c r="M49" s="59">
        <v>47</v>
      </c>
      <c r="N49" s="59">
        <v>46</v>
      </c>
      <c r="O49" s="59">
        <v>49</v>
      </c>
      <c r="P49" s="140"/>
    </row>
    <row r="50" spans="1:18" ht="15.75" thickTop="1" x14ac:dyDescent="0.25">
      <c r="A50" s="30"/>
      <c r="B50" s="48"/>
      <c r="C50" s="109">
        <f t="shared" ref="C50" si="96">C49*60*60*24*365</f>
        <v>1513728000</v>
      </c>
      <c r="D50" s="109">
        <f t="shared" ref="D50" si="97">D49*60*60*24*365</f>
        <v>1387584000</v>
      </c>
      <c r="E50" s="109">
        <f t="shared" ref="E50" si="98">E49*60*60*24*365</f>
        <v>1198368000</v>
      </c>
      <c r="F50" s="109">
        <f t="shared" ref="F50" si="99">F49*60*60*24*365</f>
        <v>1702944000</v>
      </c>
      <c r="G50" s="109">
        <f t="shared" ref="G50" si="100">G49*60*60*24*365</f>
        <v>1671408000</v>
      </c>
      <c r="H50" s="109">
        <f t="shared" ref="H50" si="101">H49*60*60*24*365</f>
        <v>1734480000</v>
      </c>
      <c r="I50" s="109">
        <f t="shared" ref="I50" si="102">I49*60*60*24*365</f>
        <v>1482192000</v>
      </c>
      <c r="J50" s="109">
        <f t="shared" ref="J50" si="103">J49*60*60*24*365</f>
        <v>0</v>
      </c>
      <c r="K50" s="109">
        <f t="shared" ref="K50" si="104">K49*60*60*24*365</f>
        <v>1419120000</v>
      </c>
      <c r="L50" s="109">
        <f t="shared" ref="L50" si="105">L49*60*60*24*365</f>
        <v>1513728000</v>
      </c>
      <c r="M50" s="109">
        <f t="shared" ref="M50" si="106">M49*60*60*24*365</f>
        <v>1482192000</v>
      </c>
      <c r="N50" s="109">
        <f t="shared" ref="N50" si="107">N49*60*60*24*365</f>
        <v>1450656000</v>
      </c>
      <c r="O50" s="109">
        <f t="shared" ref="O50" si="108">O49*60*60*24*365</f>
        <v>1545264000</v>
      </c>
      <c r="P50" s="136">
        <f>SUM(C50:O50)</f>
        <v>18101664000</v>
      </c>
      <c r="Q50" s="137">
        <f>P50/1000000000</f>
        <v>18.101664</v>
      </c>
      <c r="R50" s="10">
        <f>Q50/12</f>
        <v>1.508472</v>
      </c>
    </row>
  </sheetData>
  <mergeCells count="22">
    <mergeCell ref="A31:A33"/>
    <mergeCell ref="A35:A37"/>
    <mergeCell ref="A39:A41"/>
    <mergeCell ref="A43:A45"/>
    <mergeCell ref="A47:A49"/>
    <mergeCell ref="A16:K16"/>
    <mergeCell ref="A21:D21"/>
    <mergeCell ref="G21:I21"/>
    <mergeCell ref="A7:A8"/>
    <mergeCell ref="A9:A10"/>
    <mergeCell ref="A11:A12"/>
    <mergeCell ref="A13:A14"/>
    <mergeCell ref="A17:I17"/>
    <mergeCell ref="A15:K15"/>
    <mergeCell ref="A5:A6"/>
    <mergeCell ref="A1:P1"/>
    <mergeCell ref="P3:P4"/>
    <mergeCell ref="A2:P2"/>
    <mergeCell ref="C3:I3"/>
    <mergeCell ref="K3:O3"/>
    <mergeCell ref="A3:A4"/>
    <mergeCell ref="B3:B4"/>
  </mergeCells>
  <printOptions horizontalCentered="1"/>
  <pageMargins left="0.45" right="0.45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27"/>
  <sheetViews>
    <sheetView rightToLeft="1" view="pageBreakPreview" zoomScale="90" zoomScaleSheetLayoutView="90" workbookViewId="0">
      <selection sqref="A1:M1"/>
    </sheetView>
  </sheetViews>
  <sheetFormatPr defaultRowHeight="15" x14ac:dyDescent="0.25"/>
  <cols>
    <col min="1" max="1" width="4.28515625" customWidth="1"/>
    <col min="2" max="2" width="13.85546875" customWidth="1"/>
    <col min="3" max="10" width="10.140625" customWidth="1"/>
    <col min="11" max="11" width="10.140625" style="19" customWidth="1"/>
    <col min="12" max="13" width="10.140625" customWidth="1"/>
  </cols>
  <sheetData>
    <row r="1" spans="1:14" ht="26.25" customHeight="1" x14ac:dyDescent="0.25">
      <c r="A1" s="765" t="s">
        <v>441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2" spans="1:14" s="154" customFormat="1" ht="26.25" customHeight="1" thickBot="1" x14ac:dyDescent="0.3">
      <c r="A2" s="766" t="s">
        <v>381</v>
      </c>
      <c r="B2" s="766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723" t="s">
        <v>336</v>
      </c>
      <c r="N2" s="723"/>
    </row>
    <row r="3" spans="1:14" ht="19.5" customHeight="1" thickTop="1" x14ac:dyDescent="0.25">
      <c r="A3" s="792" t="s">
        <v>7</v>
      </c>
      <c r="B3" s="792" t="s">
        <v>0</v>
      </c>
      <c r="C3" s="761" t="s">
        <v>478</v>
      </c>
      <c r="D3" s="761"/>
      <c r="E3" s="761"/>
      <c r="F3" s="761"/>
      <c r="G3" s="761"/>
      <c r="H3" s="761"/>
      <c r="I3" s="761"/>
      <c r="J3" s="761"/>
      <c r="K3" s="792" t="s">
        <v>328</v>
      </c>
      <c r="L3" s="792" t="s">
        <v>329</v>
      </c>
      <c r="M3" s="807" t="s">
        <v>221</v>
      </c>
    </row>
    <row r="4" spans="1:14" ht="19.5" customHeight="1" x14ac:dyDescent="0.25">
      <c r="A4" s="806"/>
      <c r="B4" s="806"/>
      <c r="C4" s="169" t="s">
        <v>26</v>
      </c>
      <c r="D4" s="169" t="s">
        <v>27</v>
      </c>
      <c r="E4" s="169" t="s">
        <v>28</v>
      </c>
      <c r="F4" s="169" t="s">
        <v>29</v>
      </c>
      <c r="G4" s="169" t="s">
        <v>12</v>
      </c>
      <c r="H4" s="169" t="s">
        <v>222</v>
      </c>
      <c r="I4" s="169" t="s">
        <v>14</v>
      </c>
      <c r="J4" s="169" t="s">
        <v>15</v>
      </c>
      <c r="K4" s="806"/>
      <c r="L4" s="806"/>
      <c r="M4" s="808"/>
    </row>
    <row r="5" spans="1:14" ht="20.25" customHeight="1" x14ac:dyDescent="0.25">
      <c r="A5" s="506" t="s">
        <v>30</v>
      </c>
      <c r="B5" s="44" t="s">
        <v>54</v>
      </c>
      <c r="C5" s="62">
        <v>43</v>
      </c>
      <c r="D5" s="63">
        <v>14</v>
      </c>
      <c r="E5" s="63">
        <v>105</v>
      </c>
      <c r="F5" s="63">
        <v>56</v>
      </c>
      <c r="G5" s="63">
        <v>92</v>
      </c>
      <c r="H5" s="63">
        <v>146</v>
      </c>
      <c r="I5" s="63">
        <v>54</v>
      </c>
      <c r="J5" s="62">
        <v>8</v>
      </c>
      <c r="K5" s="62">
        <f t="shared" ref="K5:K20" si="0">SUM(C5:J5)</f>
        <v>518</v>
      </c>
      <c r="L5" s="62">
        <v>641</v>
      </c>
      <c r="M5" s="190">
        <f>K5/L5*100</f>
        <v>80.811232449297975</v>
      </c>
    </row>
    <row r="6" spans="1:14" ht="20.25" customHeight="1" x14ac:dyDescent="0.25">
      <c r="A6" s="52" t="s">
        <v>32</v>
      </c>
      <c r="B6" s="46" t="s">
        <v>55</v>
      </c>
      <c r="C6" s="63">
        <v>3</v>
      </c>
      <c r="D6" s="63">
        <v>3</v>
      </c>
      <c r="E6" s="63">
        <v>32</v>
      </c>
      <c r="F6" s="63">
        <v>61</v>
      </c>
      <c r="G6" s="63">
        <v>62</v>
      </c>
      <c r="H6" s="63">
        <v>113</v>
      </c>
      <c r="I6" s="63">
        <v>38</v>
      </c>
      <c r="J6" s="63">
        <v>3</v>
      </c>
      <c r="K6" s="63">
        <f t="shared" si="0"/>
        <v>315</v>
      </c>
      <c r="L6" s="63">
        <v>388</v>
      </c>
      <c r="M6" s="65">
        <f t="shared" ref="M6:M20" si="1">K6/L6*100</f>
        <v>81.185567010309285</v>
      </c>
    </row>
    <row r="7" spans="1:14" ht="20.25" customHeight="1" x14ac:dyDescent="0.25">
      <c r="A7" s="52" t="s">
        <v>33</v>
      </c>
      <c r="B7" s="46" t="s">
        <v>31</v>
      </c>
      <c r="C7" s="63">
        <v>25</v>
      </c>
      <c r="D7" s="63">
        <v>1</v>
      </c>
      <c r="E7" s="63">
        <v>76</v>
      </c>
      <c r="F7" s="63">
        <v>66</v>
      </c>
      <c r="G7" s="63">
        <v>51</v>
      </c>
      <c r="H7" s="63">
        <v>197</v>
      </c>
      <c r="I7" s="63">
        <v>29</v>
      </c>
      <c r="J7" s="63">
        <v>6</v>
      </c>
      <c r="K7" s="63">
        <f t="shared" si="0"/>
        <v>451</v>
      </c>
      <c r="L7" s="63">
        <v>351</v>
      </c>
      <c r="M7" s="65">
        <f t="shared" si="1"/>
        <v>128.49002849002849</v>
      </c>
    </row>
    <row r="8" spans="1:14" ht="20.25" customHeight="1" x14ac:dyDescent="0.25">
      <c r="A8" s="52" t="s">
        <v>34</v>
      </c>
      <c r="B8" s="46" t="s">
        <v>58</v>
      </c>
      <c r="C8" s="63">
        <v>57</v>
      </c>
      <c r="D8" s="63">
        <v>28</v>
      </c>
      <c r="E8" s="63">
        <v>63</v>
      </c>
      <c r="F8" s="63">
        <v>92</v>
      </c>
      <c r="G8" s="63">
        <v>127</v>
      </c>
      <c r="H8" s="63">
        <v>129</v>
      </c>
      <c r="I8" s="63">
        <v>38</v>
      </c>
      <c r="J8" s="63">
        <v>16</v>
      </c>
      <c r="K8" s="63">
        <f t="shared" si="0"/>
        <v>550</v>
      </c>
      <c r="L8" s="63">
        <v>662</v>
      </c>
      <c r="M8" s="65">
        <f t="shared" si="1"/>
        <v>83.081570996978854</v>
      </c>
    </row>
    <row r="9" spans="1:14" ht="20.25" customHeight="1" x14ac:dyDescent="0.25">
      <c r="A9" s="52" t="s">
        <v>373</v>
      </c>
      <c r="B9" s="46" t="s">
        <v>35</v>
      </c>
      <c r="C9" s="63">
        <v>72</v>
      </c>
      <c r="D9" s="63">
        <v>9</v>
      </c>
      <c r="E9" s="63">
        <v>46</v>
      </c>
      <c r="F9" s="63">
        <v>52</v>
      </c>
      <c r="G9" s="63">
        <v>41</v>
      </c>
      <c r="H9" s="63">
        <v>113</v>
      </c>
      <c r="I9" s="63">
        <v>28</v>
      </c>
      <c r="J9" s="63">
        <v>1</v>
      </c>
      <c r="K9" s="63">
        <f t="shared" si="0"/>
        <v>362</v>
      </c>
      <c r="L9" s="63">
        <v>315</v>
      </c>
      <c r="M9" s="65">
        <f t="shared" si="1"/>
        <v>114.92063492063491</v>
      </c>
    </row>
    <row r="10" spans="1:14" ht="20.25" customHeight="1" x14ac:dyDescent="0.25">
      <c r="A10" s="52" t="s">
        <v>37</v>
      </c>
      <c r="B10" s="46" t="s">
        <v>36</v>
      </c>
      <c r="C10" s="63">
        <v>12</v>
      </c>
      <c r="D10" s="63">
        <v>1</v>
      </c>
      <c r="E10" s="63">
        <v>26</v>
      </c>
      <c r="F10" s="63">
        <v>19</v>
      </c>
      <c r="G10" s="63">
        <v>10</v>
      </c>
      <c r="H10" s="63">
        <v>23</v>
      </c>
      <c r="I10" s="63">
        <v>3</v>
      </c>
      <c r="J10" s="63">
        <v>0</v>
      </c>
      <c r="K10" s="294">
        <f t="shared" si="0"/>
        <v>94</v>
      </c>
      <c r="L10" s="294">
        <v>109</v>
      </c>
      <c r="M10" s="65">
        <f t="shared" si="1"/>
        <v>86.238532110091754</v>
      </c>
    </row>
    <row r="11" spans="1:14" ht="20.25" customHeight="1" x14ac:dyDescent="0.25">
      <c r="A11" s="52" t="s">
        <v>39</v>
      </c>
      <c r="B11" s="46" t="s">
        <v>38</v>
      </c>
      <c r="C11" s="63">
        <v>6</v>
      </c>
      <c r="D11" s="63">
        <v>5</v>
      </c>
      <c r="E11" s="63">
        <v>105</v>
      </c>
      <c r="F11" s="63">
        <v>19</v>
      </c>
      <c r="G11" s="63">
        <v>45</v>
      </c>
      <c r="H11" s="63">
        <v>24</v>
      </c>
      <c r="I11" s="63">
        <v>2</v>
      </c>
      <c r="J11" s="63">
        <v>0</v>
      </c>
      <c r="K11" s="63">
        <f t="shared" si="0"/>
        <v>206</v>
      </c>
      <c r="L11" s="63">
        <v>137</v>
      </c>
      <c r="M11" s="65">
        <f t="shared" si="1"/>
        <v>150.36496350364962</v>
      </c>
    </row>
    <row r="12" spans="1:14" ht="20.25" customHeight="1" x14ac:dyDescent="0.25">
      <c r="A12" s="52" t="s">
        <v>41</v>
      </c>
      <c r="B12" s="46" t="s">
        <v>40</v>
      </c>
      <c r="C12" s="63">
        <v>44</v>
      </c>
      <c r="D12" s="63">
        <v>6</v>
      </c>
      <c r="E12" s="63">
        <v>87</v>
      </c>
      <c r="F12" s="63">
        <v>93</v>
      </c>
      <c r="G12" s="63">
        <v>129</v>
      </c>
      <c r="H12" s="63">
        <v>134</v>
      </c>
      <c r="I12" s="63">
        <v>70</v>
      </c>
      <c r="J12" s="63">
        <v>4</v>
      </c>
      <c r="K12" s="63">
        <f t="shared" si="0"/>
        <v>567</v>
      </c>
      <c r="L12" s="63">
        <v>620</v>
      </c>
      <c r="M12" s="65">
        <f t="shared" si="1"/>
        <v>91.451612903225808</v>
      </c>
    </row>
    <row r="13" spans="1:14" ht="20.25" customHeight="1" x14ac:dyDescent="0.25">
      <c r="A13" s="52" t="s">
        <v>43</v>
      </c>
      <c r="B13" s="46" t="s">
        <v>82</v>
      </c>
      <c r="C13" s="63">
        <v>31</v>
      </c>
      <c r="D13" s="63">
        <v>4</v>
      </c>
      <c r="E13" s="63">
        <v>12</v>
      </c>
      <c r="F13" s="63">
        <v>5</v>
      </c>
      <c r="G13" s="63">
        <v>11</v>
      </c>
      <c r="H13" s="63">
        <v>5</v>
      </c>
      <c r="I13" s="63">
        <v>13</v>
      </c>
      <c r="J13" s="63">
        <v>0</v>
      </c>
      <c r="K13" s="294">
        <f t="shared" si="0"/>
        <v>81</v>
      </c>
      <c r="L13" s="294">
        <v>96</v>
      </c>
      <c r="M13" s="65">
        <f t="shared" si="1"/>
        <v>84.375</v>
      </c>
    </row>
    <row r="14" spans="1:14" ht="20.25" customHeight="1" x14ac:dyDescent="0.25">
      <c r="A14" s="52" t="s">
        <v>44</v>
      </c>
      <c r="B14" s="46" t="s">
        <v>237</v>
      </c>
      <c r="C14" s="63">
        <v>9</v>
      </c>
      <c r="D14" s="63">
        <v>1</v>
      </c>
      <c r="E14" s="63">
        <v>7</v>
      </c>
      <c r="F14" s="63">
        <v>5</v>
      </c>
      <c r="G14" s="63">
        <v>0</v>
      </c>
      <c r="H14" s="63">
        <v>0</v>
      </c>
      <c r="I14" s="63">
        <v>1</v>
      </c>
      <c r="J14" s="63">
        <v>0</v>
      </c>
      <c r="K14" s="294">
        <f t="shared" si="0"/>
        <v>23</v>
      </c>
      <c r="L14" s="294">
        <v>117</v>
      </c>
      <c r="M14" s="65">
        <f t="shared" si="1"/>
        <v>19.658119658119659</v>
      </c>
    </row>
    <row r="15" spans="1:14" ht="20.25" customHeight="1" x14ac:dyDescent="0.25">
      <c r="A15" s="52" t="s">
        <v>45</v>
      </c>
      <c r="B15" s="46" t="s">
        <v>325</v>
      </c>
      <c r="C15" s="63">
        <v>0</v>
      </c>
      <c r="D15" s="63">
        <v>7</v>
      </c>
      <c r="E15" s="63">
        <v>0</v>
      </c>
      <c r="F15" s="63">
        <v>0</v>
      </c>
      <c r="G15" s="63">
        <v>26</v>
      </c>
      <c r="H15" s="63">
        <v>2</v>
      </c>
      <c r="I15" s="63">
        <v>0</v>
      </c>
      <c r="J15" s="63">
        <v>0</v>
      </c>
      <c r="K15" s="294">
        <f t="shared" si="0"/>
        <v>35</v>
      </c>
      <c r="L15" s="294">
        <v>140</v>
      </c>
      <c r="M15" s="65">
        <f t="shared" si="1"/>
        <v>25</v>
      </c>
    </row>
    <row r="16" spans="1:14" ht="20.25" customHeight="1" x14ac:dyDescent="0.25">
      <c r="A16" s="52" t="s">
        <v>46</v>
      </c>
      <c r="B16" s="46" t="s">
        <v>47</v>
      </c>
      <c r="C16" s="63">
        <v>3</v>
      </c>
      <c r="D16" s="63">
        <v>1</v>
      </c>
      <c r="E16" s="63">
        <v>9</v>
      </c>
      <c r="F16" s="63">
        <v>4</v>
      </c>
      <c r="G16" s="63">
        <v>0</v>
      </c>
      <c r="H16" s="63">
        <v>31</v>
      </c>
      <c r="I16" s="63">
        <v>1</v>
      </c>
      <c r="J16" s="63">
        <v>0</v>
      </c>
      <c r="K16" s="63">
        <f t="shared" si="0"/>
        <v>49</v>
      </c>
      <c r="L16" s="63">
        <v>152</v>
      </c>
      <c r="M16" s="65">
        <f t="shared" si="1"/>
        <v>32.236842105263158</v>
      </c>
    </row>
    <row r="17" spans="1:29" ht="20.25" customHeight="1" x14ac:dyDescent="0.25">
      <c r="A17" s="52" t="s">
        <v>48</v>
      </c>
      <c r="B17" s="46" t="s">
        <v>49</v>
      </c>
      <c r="C17" s="63">
        <v>2</v>
      </c>
      <c r="D17" s="63">
        <v>1</v>
      </c>
      <c r="E17" s="63">
        <v>14</v>
      </c>
      <c r="F17" s="63">
        <v>20</v>
      </c>
      <c r="G17" s="63">
        <v>23</v>
      </c>
      <c r="H17" s="63">
        <v>4</v>
      </c>
      <c r="I17" s="63">
        <v>2</v>
      </c>
      <c r="J17" s="63">
        <v>0</v>
      </c>
      <c r="K17" s="63">
        <f t="shared" si="0"/>
        <v>66</v>
      </c>
      <c r="L17" s="63">
        <v>103</v>
      </c>
      <c r="M17" s="65">
        <f t="shared" si="1"/>
        <v>64.077669902912632</v>
      </c>
    </row>
    <row r="18" spans="1:29" ht="20.25" customHeight="1" x14ac:dyDescent="0.25">
      <c r="A18" s="52" t="s">
        <v>50</v>
      </c>
      <c r="B18" s="46" t="s">
        <v>51</v>
      </c>
      <c r="C18" s="63">
        <v>6</v>
      </c>
      <c r="D18" s="63">
        <v>4</v>
      </c>
      <c r="E18" s="63">
        <v>47</v>
      </c>
      <c r="F18" s="63">
        <v>16</v>
      </c>
      <c r="G18" s="63">
        <v>46</v>
      </c>
      <c r="H18" s="63">
        <v>2</v>
      </c>
      <c r="I18" s="63">
        <v>1</v>
      </c>
      <c r="J18" s="63">
        <v>0</v>
      </c>
      <c r="K18" s="63">
        <f t="shared" si="0"/>
        <v>122</v>
      </c>
      <c r="L18" s="63">
        <v>210</v>
      </c>
      <c r="M18" s="65">
        <f t="shared" si="1"/>
        <v>58.095238095238102</v>
      </c>
    </row>
    <row r="19" spans="1:29" ht="20.25" customHeight="1" x14ac:dyDescent="0.25">
      <c r="A19" s="52" t="s">
        <v>52</v>
      </c>
      <c r="B19" s="61" t="s">
        <v>238</v>
      </c>
      <c r="C19" s="63">
        <v>3</v>
      </c>
      <c r="D19" s="63">
        <v>15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294">
        <f t="shared" si="0"/>
        <v>19</v>
      </c>
      <c r="L19" s="294">
        <v>77</v>
      </c>
      <c r="M19" s="65">
        <f t="shared" si="1"/>
        <v>24.675324675324674</v>
      </c>
    </row>
    <row r="20" spans="1:29" ht="20.25" customHeight="1" thickBot="1" x14ac:dyDescent="0.3">
      <c r="A20" s="507" t="s">
        <v>56</v>
      </c>
      <c r="B20" s="47" t="s">
        <v>53</v>
      </c>
      <c r="C20" s="64">
        <v>1</v>
      </c>
      <c r="D20" s="64">
        <v>0</v>
      </c>
      <c r="E20" s="64">
        <v>25</v>
      </c>
      <c r="F20" s="64">
        <v>41</v>
      </c>
      <c r="G20" s="64">
        <v>13</v>
      </c>
      <c r="H20" s="64">
        <v>37</v>
      </c>
      <c r="I20" s="64">
        <v>0</v>
      </c>
      <c r="J20" s="64">
        <v>0</v>
      </c>
      <c r="K20" s="64">
        <f t="shared" si="0"/>
        <v>117</v>
      </c>
      <c r="L20" s="64">
        <v>109</v>
      </c>
      <c r="M20" s="399">
        <f t="shared" si="1"/>
        <v>107.33944954128441</v>
      </c>
    </row>
    <row r="21" spans="1:29" ht="20.25" customHeight="1" thickTop="1" x14ac:dyDescent="0.25">
      <c r="A21" s="810" t="s">
        <v>416</v>
      </c>
      <c r="B21" s="810"/>
      <c r="C21" s="810"/>
      <c r="D21" s="810"/>
      <c r="E21" s="810"/>
      <c r="F21" s="810"/>
      <c r="G21" s="810"/>
      <c r="H21" s="810"/>
      <c r="I21" s="810"/>
      <c r="J21" s="810"/>
      <c r="K21" s="810"/>
      <c r="L21" s="810"/>
      <c r="M21" s="810"/>
    </row>
    <row r="22" spans="1:29" ht="3" customHeight="1" x14ac:dyDescent="0.25"/>
    <row r="23" spans="1:29" ht="20.25" customHeight="1" x14ac:dyDescent="0.25">
      <c r="A23" s="809" t="s">
        <v>4</v>
      </c>
      <c r="B23" s="809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49"/>
    </row>
    <row r="24" spans="1:29" ht="20.25" customHeight="1" x14ac:dyDescent="0.25">
      <c r="A24" s="728"/>
      <c r="B24" s="728"/>
      <c r="C24" s="728"/>
      <c r="D24" s="728"/>
      <c r="E24" s="728"/>
      <c r="F24" s="728"/>
      <c r="G24" s="728"/>
      <c r="H24" s="728"/>
      <c r="I24" s="728"/>
      <c r="J24" s="728"/>
      <c r="K24" s="728"/>
      <c r="L24" s="728"/>
      <c r="M24" s="728"/>
      <c r="N24" s="728"/>
    </row>
    <row r="25" spans="1:29" ht="20.25" customHeight="1" x14ac:dyDescent="0.25">
      <c r="A25" s="728"/>
      <c r="B25" s="728"/>
      <c r="C25" s="728"/>
      <c r="D25" s="728"/>
      <c r="E25" s="728"/>
      <c r="F25" s="728"/>
      <c r="G25" s="728"/>
      <c r="H25" s="728"/>
      <c r="I25" s="728"/>
      <c r="J25" s="728"/>
      <c r="K25" s="728"/>
      <c r="L25" s="728"/>
      <c r="M25" s="728"/>
      <c r="N25" s="728"/>
    </row>
    <row r="26" spans="1:29" ht="20.25" customHeight="1" x14ac:dyDescent="0.25">
      <c r="A26" s="505"/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</row>
    <row r="27" spans="1:29" ht="20.25" customHeight="1" x14ac:dyDescent="0.25">
      <c r="A27" s="787" t="s">
        <v>228</v>
      </c>
      <c r="B27" s="787"/>
      <c r="C27" s="787"/>
      <c r="D27" s="787"/>
      <c r="E27" s="104"/>
      <c r="F27" s="798"/>
      <c r="G27" s="798"/>
      <c r="H27" s="798"/>
      <c r="I27" s="798"/>
      <c r="J27" s="104"/>
      <c r="K27" s="104"/>
      <c r="L27" s="104"/>
      <c r="M27" s="43">
        <v>19</v>
      </c>
      <c r="N27" s="1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C27" s="9"/>
    </row>
  </sheetData>
  <mergeCells count="12">
    <mergeCell ref="A27:D27"/>
    <mergeCell ref="A1:M1"/>
    <mergeCell ref="A3:A4"/>
    <mergeCell ref="B3:B4"/>
    <mergeCell ref="M3:M4"/>
    <mergeCell ref="F27:I27"/>
    <mergeCell ref="A23:M23"/>
    <mergeCell ref="C3:J3"/>
    <mergeCell ref="K3:K4"/>
    <mergeCell ref="L3:L4"/>
    <mergeCell ref="A2:B2"/>
    <mergeCell ref="A21:M21"/>
  </mergeCells>
  <printOptions horizontalCentered="1"/>
  <pageMargins left="0.45" right="0.45" top="0.5" bottom="0.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54"/>
  <sheetViews>
    <sheetView rightToLeft="1" view="pageBreakPreview" zoomScale="90" zoomScaleSheetLayoutView="90" workbookViewId="0">
      <selection sqref="A1:N1"/>
    </sheetView>
  </sheetViews>
  <sheetFormatPr defaultColWidth="8.7109375" defaultRowHeight="15" x14ac:dyDescent="0.25"/>
  <cols>
    <col min="1" max="1" width="12.42578125" customWidth="1"/>
    <col min="2" max="9" width="11.5703125" customWidth="1"/>
    <col min="10" max="10" width="10.7109375" customWidth="1"/>
  </cols>
  <sheetData>
    <row r="1" spans="1:14" ht="24.75" customHeight="1" x14ac:dyDescent="0.25">
      <c r="A1" s="814" t="s">
        <v>442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</row>
    <row r="2" spans="1:14" ht="21" customHeight="1" x14ac:dyDescent="0.25">
      <c r="A2" s="224" t="s">
        <v>382</v>
      </c>
      <c r="B2" s="224"/>
      <c r="C2" s="224"/>
      <c r="D2" s="224"/>
      <c r="E2" s="224"/>
      <c r="F2" s="224"/>
      <c r="G2" s="224"/>
      <c r="H2" s="224"/>
      <c r="I2" s="224"/>
      <c r="J2" s="224"/>
      <c r="N2" s="649" t="s">
        <v>377</v>
      </c>
    </row>
    <row r="3" spans="1:14" ht="6.75" customHeight="1" thickBot="1" x14ac:dyDescent="0.3">
      <c r="B3" s="17"/>
      <c r="C3" s="17"/>
      <c r="D3" s="17"/>
      <c r="E3" s="17"/>
      <c r="F3" s="17"/>
    </row>
    <row r="4" spans="1:14" ht="26.25" customHeight="1" thickTop="1" thickBot="1" x14ac:dyDescent="0.3">
      <c r="A4" s="761" t="s">
        <v>508</v>
      </c>
      <c r="B4" s="815" t="s">
        <v>243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</row>
    <row r="5" spans="1:14" ht="26.25" customHeight="1" thickTop="1" x14ac:dyDescent="0.25">
      <c r="A5" s="762"/>
      <c r="B5" s="733" t="s">
        <v>63</v>
      </c>
      <c r="C5" s="733" t="s">
        <v>64</v>
      </c>
      <c r="D5" s="733" t="s">
        <v>65</v>
      </c>
      <c r="E5" s="733" t="s">
        <v>66</v>
      </c>
      <c r="F5" s="733" t="s">
        <v>12</v>
      </c>
      <c r="G5" s="733" t="s">
        <v>20</v>
      </c>
      <c r="H5" s="733" t="s">
        <v>14</v>
      </c>
      <c r="I5" s="733" t="s">
        <v>15</v>
      </c>
      <c r="J5" s="733" t="s">
        <v>16</v>
      </c>
      <c r="K5" s="733" t="s">
        <v>17</v>
      </c>
      <c r="L5" s="733" t="s">
        <v>21</v>
      </c>
      <c r="M5" s="733" t="s">
        <v>19</v>
      </c>
      <c r="N5" s="733" t="s">
        <v>376</v>
      </c>
    </row>
    <row r="6" spans="1:14" ht="27.75" customHeight="1" x14ac:dyDescent="0.25">
      <c r="A6" s="520" t="s">
        <v>31</v>
      </c>
      <c r="B6" s="57">
        <v>21.87</v>
      </c>
      <c r="C6" s="57">
        <v>10.69</v>
      </c>
      <c r="D6" s="57">
        <v>6.44</v>
      </c>
      <c r="E6" s="57">
        <v>6</v>
      </c>
      <c r="F6" s="57">
        <v>8.7799999999999994</v>
      </c>
      <c r="G6" s="57">
        <v>16.61</v>
      </c>
      <c r="H6" s="57">
        <v>27.68</v>
      </c>
      <c r="I6" s="57">
        <v>43.71</v>
      </c>
      <c r="J6" s="57">
        <v>53.24</v>
      </c>
      <c r="K6" s="57">
        <v>59.99</v>
      </c>
      <c r="L6" s="57">
        <v>51.3</v>
      </c>
      <c r="M6" s="57">
        <v>37.9</v>
      </c>
      <c r="N6" s="57">
        <f t="shared" ref="N6:N14" si="0">SUM(B6:M6)</f>
        <v>344.21</v>
      </c>
    </row>
    <row r="7" spans="1:14" ht="27.75" customHeight="1" x14ac:dyDescent="0.25">
      <c r="A7" s="521" t="s">
        <v>58</v>
      </c>
      <c r="B7" s="51">
        <v>25.64</v>
      </c>
      <c r="C7" s="51">
        <v>12.72</v>
      </c>
      <c r="D7" s="51">
        <v>7.08</v>
      </c>
      <c r="E7" s="51">
        <v>5.99</v>
      </c>
      <c r="F7" s="51">
        <v>7.79</v>
      </c>
      <c r="G7" s="51">
        <v>14.48</v>
      </c>
      <c r="H7" s="51">
        <v>22.16</v>
      </c>
      <c r="I7" s="51">
        <v>36.28</v>
      </c>
      <c r="J7" s="51">
        <v>48.43</v>
      </c>
      <c r="K7" s="51">
        <v>54.43</v>
      </c>
      <c r="L7" s="51">
        <v>44.17</v>
      </c>
      <c r="M7" s="51">
        <v>30.47</v>
      </c>
      <c r="N7" s="51">
        <f t="shared" si="0"/>
        <v>309.64</v>
      </c>
    </row>
    <row r="8" spans="1:14" ht="27.75" customHeight="1" x14ac:dyDescent="0.25">
      <c r="A8" s="521" t="s">
        <v>59</v>
      </c>
      <c r="B8" s="51">
        <v>7.25</v>
      </c>
      <c r="C8" s="51">
        <v>2.79</v>
      </c>
      <c r="D8" s="51">
        <v>1.71</v>
      </c>
      <c r="E8" s="51">
        <v>1.87</v>
      </c>
      <c r="F8" s="51">
        <v>2.39</v>
      </c>
      <c r="G8" s="51">
        <v>4.54</v>
      </c>
      <c r="H8" s="51">
        <v>7.61</v>
      </c>
      <c r="I8" s="51">
        <v>12.54</v>
      </c>
      <c r="J8" s="51">
        <v>15.93</v>
      </c>
      <c r="K8" s="51">
        <v>16.23</v>
      </c>
      <c r="L8" s="51">
        <v>13.82</v>
      </c>
      <c r="M8" s="51">
        <v>9.52</v>
      </c>
      <c r="N8" s="51">
        <f t="shared" si="0"/>
        <v>96.2</v>
      </c>
    </row>
    <row r="9" spans="1:14" ht="27.75" customHeight="1" x14ac:dyDescent="0.25">
      <c r="A9" s="521" t="s">
        <v>274</v>
      </c>
      <c r="B9" s="51">
        <v>172.2</v>
      </c>
      <c r="C9" s="51">
        <v>91.23</v>
      </c>
      <c r="D9" s="51">
        <v>53.3</v>
      </c>
      <c r="E9" s="51">
        <v>50.23</v>
      </c>
      <c r="F9" s="51">
        <v>78.930000000000007</v>
      </c>
      <c r="G9" s="51">
        <v>136.33000000000001</v>
      </c>
      <c r="H9" s="51">
        <v>196.93</v>
      </c>
      <c r="I9" s="51">
        <v>290.25</v>
      </c>
      <c r="J9" s="51">
        <v>357.98</v>
      </c>
      <c r="K9" s="51">
        <v>387.58</v>
      </c>
      <c r="L9" s="51">
        <v>343.38</v>
      </c>
      <c r="M9" s="51">
        <v>245</v>
      </c>
      <c r="N9" s="760">
        <f t="shared" si="0"/>
        <v>2403.34</v>
      </c>
    </row>
    <row r="10" spans="1:14" ht="27.75" customHeight="1" x14ac:dyDescent="0.25">
      <c r="A10" s="521" t="s">
        <v>275</v>
      </c>
      <c r="B10" s="51">
        <v>15.56</v>
      </c>
      <c r="C10" s="51">
        <v>6.45</v>
      </c>
      <c r="D10" s="51">
        <v>3.83</v>
      </c>
      <c r="E10" s="51">
        <v>3.68</v>
      </c>
      <c r="F10" s="51">
        <v>5.25</v>
      </c>
      <c r="G10" s="51">
        <v>10.15</v>
      </c>
      <c r="H10" s="51">
        <v>15.96</v>
      </c>
      <c r="I10" s="51">
        <v>23.46</v>
      </c>
      <c r="J10" s="51">
        <v>27.06</v>
      </c>
      <c r="K10" s="51">
        <v>29.95</v>
      </c>
      <c r="L10" s="51">
        <v>25.2</v>
      </c>
      <c r="M10" s="51">
        <v>17.850000000000001</v>
      </c>
      <c r="N10" s="51">
        <f t="shared" si="0"/>
        <v>184.39999999999998</v>
      </c>
    </row>
    <row r="11" spans="1:14" ht="27.75" customHeight="1" x14ac:dyDescent="0.25">
      <c r="A11" s="521" t="s">
        <v>239</v>
      </c>
      <c r="B11" s="51">
        <v>20.92</v>
      </c>
      <c r="C11" s="51">
        <v>15.87</v>
      </c>
      <c r="D11" s="51">
        <v>8.19</v>
      </c>
      <c r="E11" s="51">
        <v>7.86</v>
      </c>
      <c r="F11" s="51">
        <v>11.24</v>
      </c>
      <c r="G11" s="51">
        <v>19.739999999999998</v>
      </c>
      <c r="H11" s="51">
        <v>27.06</v>
      </c>
      <c r="I11" s="51">
        <v>39.78</v>
      </c>
      <c r="J11" s="51">
        <v>41.33</v>
      </c>
      <c r="K11" s="51">
        <v>45.74</v>
      </c>
      <c r="L11" s="51">
        <v>42.34</v>
      </c>
      <c r="M11" s="51">
        <v>26.95</v>
      </c>
      <c r="N11" s="51">
        <f t="shared" si="0"/>
        <v>307.02000000000004</v>
      </c>
    </row>
    <row r="12" spans="1:14" ht="27.75" customHeight="1" x14ac:dyDescent="0.25">
      <c r="A12" s="521" t="s">
        <v>61</v>
      </c>
      <c r="B12" s="51">
        <v>60.48</v>
      </c>
      <c r="C12" s="51">
        <v>29.16</v>
      </c>
      <c r="D12" s="51">
        <v>16.2</v>
      </c>
      <c r="E12" s="51">
        <v>16.559999999999999</v>
      </c>
      <c r="F12" s="51">
        <v>24.84</v>
      </c>
      <c r="G12" s="51">
        <v>42.84</v>
      </c>
      <c r="H12" s="51">
        <v>61.92</v>
      </c>
      <c r="I12" s="51">
        <v>100.13</v>
      </c>
      <c r="J12" s="51">
        <v>129.38</v>
      </c>
      <c r="K12" s="51">
        <v>141.12</v>
      </c>
      <c r="L12" s="51">
        <v>118.15</v>
      </c>
      <c r="M12" s="51">
        <v>87.17</v>
      </c>
      <c r="N12" s="51">
        <f t="shared" si="0"/>
        <v>827.94999999999993</v>
      </c>
    </row>
    <row r="13" spans="1:14" ht="27.75" customHeight="1" thickBot="1" x14ac:dyDescent="0.3">
      <c r="A13" s="521" t="s">
        <v>276</v>
      </c>
      <c r="B13" s="51">
        <v>61.56</v>
      </c>
      <c r="C13" s="51">
        <v>32.130000000000003</v>
      </c>
      <c r="D13" s="51">
        <v>21.09</v>
      </c>
      <c r="E13" s="51">
        <v>12.26</v>
      </c>
      <c r="F13" s="51">
        <v>29.1</v>
      </c>
      <c r="G13" s="51">
        <v>45.03</v>
      </c>
      <c r="H13" s="51">
        <v>61.85</v>
      </c>
      <c r="I13" s="51">
        <v>88.92</v>
      </c>
      <c r="J13" s="51">
        <v>115.43</v>
      </c>
      <c r="K13" s="51">
        <v>133.94999999999999</v>
      </c>
      <c r="L13" s="51">
        <v>122.84</v>
      </c>
      <c r="M13" s="51">
        <v>90.63</v>
      </c>
      <c r="N13" s="51">
        <f t="shared" si="0"/>
        <v>814.79000000000008</v>
      </c>
    </row>
    <row r="14" spans="1:14" ht="27.75" customHeight="1" thickTop="1" thickBot="1" x14ac:dyDescent="0.3">
      <c r="A14" s="400" t="s">
        <v>220</v>
      </c>
      <c r="B14" s="538">
        <f t="shared" ref="B14:M14" si="1">SUM(B6:B13)</f>
        <v>385.48</v>
      </c>
      <c r="C14" s="538">
        <f>SUM(C6:C13)</f>
        <v>201.04</v>
      </c>
      <c r="D14" s="538">
        <f t="shared" si="1"/>
        <v>117.84</v>
      </c>
      <c r="E14" s="538">
        <f t="shared" si="1"/>
        <v>104.45000000000002</v>
      </c>
      <c r="F14" s="538">
        <f t="shared" si="1"/>
        <v>168.32</v>
      </c>
      <c r="G14" s="538">
        <f t="shared" si="1"/>
        <v>289.72000000000003</v>
      </c>
      <c r="H14" s="538">
        <f t="shared" si="1"/>
        <v>421.17</v>
      </c>
      <c r="I14" s="538">
        <f t="shared" si="1"/>
        <v>635.06999999999994</v>
      </c>
      <c r="J14" s="538">
        <f t="shared" si="1"/>
        <v>788.78</v>
      </c>
      <c r="K14" s="538">
        <f t="shared" si="1"/>
        <v>868.99</v>
      </c>
      <c r="L14" s="538">
        <f t="shared" si="1"/>
        <v>761.19999999999993</v>
      </c>
      <c r="M14" s="538">
        <f t="shared" si="1"/>
        <v>545.49</v>
      </c>
      <c r="N14" s="538">
        <f t="shared" si="0"/>
        <v>5287.5499999999993</v>
      </c>
    </row>
    <row r="15" spans="1:14" ht="8.25" customHeight="1" thickTop="1" x14ac:dyDescent="0.25">
      <c r="A15" s="812"/>
      <c r="B15" s="812"/>
      <c r="C15" s="812"/>
      <c r="D15" s="812"/>
      <c r="E15" s="14"/>
      <c r="F15" s="14"/>
    </row>
    <row r="16" spans="1:14" ht="27.75" customHeight="1" x14ac:dyDescent="0.25">
      <c r="A16" s="809" t="s">
        <v>4</v>
      </c>
      <c r="B16" s="809"/>
      <c r="C16" s="809"/>
      <c r="D16" s="809"/>
      <c r="E16" s="809"/>
      <c r="F16" s="809"/>
      <c r="G16" s="809"/>
      <c r="H16" s="809"/>
      <c r="I16" s="809"/>
    </row>
    <row r="17" spans="1:23" ht="27.75" customHeight="1" x14ac:dyDescent="0.25">
      <c r="A17" s="518"/>
      <c r="B17" s="518"/>
      <c r="C17" s="518"/>
      <c r="D17" s="518"/>
      <c r="E17" s="518"/>
      <c r="F17" s="518"/>
      <c r="G17" s="518"/>
      <c r="H17" s="518"/>
      <c r="I17" s="518"/>
    </row>
    <row r="18" spans="1:23" ht="27.75" customHeight="1" x14ac:dyDescent="0.25">
      <c r="A18" s="518"/>
      <c r="B18" s="518"/>
      <c r="C18" s="518"/>
      <c r="D18" s="518"/>
      <c r="E18" s="518"/>
      <c r="F18" s="518"/>
      <c r="G18" s="518"/>
      <c r="H18" s="518"/>
      <c r="I18" s="518"/>
    </row>
    <row r="19" spans="1:23" ht="27.75" customHeight="1" x14ac:dyDescent="0.25">
      <c r="A19" s="518"/>
      <c r="B19" s="518"/>
      <c r="C19" s="518"/>
      <c r="D19" s="518"/>
      <c r="E19" s="518"/>
      <c r="F19" s="518"/>
      <c r="G19" s="518"/>
      <c r="H19" s="518"/>
      <c r="I19" s="518"/>
    </row>
    <row r="20" spans="1:23" ht="27.75" customHeight="1" x14ac:dyDescent="0.25">
      <c r="A20" s="518"/>
      <c r="B20" s="518"/>
      <c r="C20" s="518"/>
      <c r="D20" s="518"/>
      <c r="E20" s="518"/>
      <c r="F20" s="518"/>
      <c r="G20" s="518"/>
      <c r="H20" s="518"/>
      <c r="I20" s="518"/>
    </row>
    <row r="21" spans="1:23" ht="27.75" customHeight="1" x14ac:dyDescent="0.25">
      <c r="A21" s="518"/>
      <c r="B21" s="518"/>
      <c r="C21" s="518"/>
      <c r="D21" s="518"/>
      <c r="E21" s="518"/>
      <c r="F21" s="518"/>
      <c r="G21" s="518"/>
      <c r="H21" s="518"/>
      <c r="I21" s="518"/>
    </row>
    <row r="22" spans="1:23" ht="27.75" customHeight="1" x14ac:dyDescent="0.25">
      <c r="E22" s="21"/>
      <c r="F22" s="21"/>
    </row>
    <row r="23" spans="1:23" ht="27.75" customHeight="1" x14ac:dyDescent="0.25">
      <c r="A23" s="813" t="s">
        <v>228</v>
      </c>
      <c r="B23" s="813"/>
      <c r="C23" s="813"/>
      <c r="D23" s="105"/>
      <c r="E23" s="811"/>
      <c r="F23" s="811"/>
      <c r="G23" s="104"/>
      <c r="H23" s="104"/>
      <c r="I23" s="104"/>
      <c r="J23" s="104"/>
      <c r="K23" s="104"/>
      <c r="L23" s="104"/>
      <c r="M23" s="104"/>
      <c r="N23" s="43">
        <v>20</v>
      </c>
      <c r="O23" s="7"/>
      <c r="P23" s="7"/>
      <c r="Q23" s="7"/>
      <c r="R23" s="7"/>
      <c r="S23" s="7"/>
      <c r="T23" s="7"/>
      <c r="U23" s="7"/>
      <c r="W23" s="9"/>
    </row>
    <row r="39" spans="1:10" ht="15.75" thickBot="1" x14ac:dyDescent="0.3"/>
    <row r="40" spans="1:10" ht="15.75" thickTop="1" x14ac:dyDescent="0.25">
      <c r="A40" s="166" t="s">
        <v>57</v>
      </c>
      <c r="B40" s="170" t="s">
        <v>58</v>
      </c>
      <c r="C40" s="170" t="s">
        <v>59</v>
      </c>
      <c r="D40" s="170" t="s">
        <v>31</v>
      </c>
      <c r="E40" s="170" t="s">
        <v>61</v>
      </c>
      <c r="F40" s="170" t="s">
        <v>239</v>
      </c>
      <c r="G40" s="185" t="s">
        <v>274</v>
      </c>
      <c r="H40" s="185" t="s">
        <v>276</v>
      </c>
      <c r="I40" s="185" t="s">
        <v>275</v>
      </c>
      <c r="J40" s="185" t="s">
        <v>240</v>
      </c>
    </row>
    <row r="41" spans="1:10" x14ac:dyDescent="0.25">
      <c r="A41" s="483" t="s">
        <v>63</v>
      </c>
      <c r="B41" s="57">
        <v>23.69</v>
      </c>
      <c r="C41" s="57">
        <v>8.18</v>
      </c>
      <c r="D41" s="57">
        <v>16.07</v>
      </c>
      <c r="E41" s="449">
        <v>36.54</v>
      </c>
      <c r="F41" s="57">
        <v>35.229999999999997</v>
      </c>
      <c r="G41" s="452">
        <v>205.88</v>
      </c>
      <c r="H41" s="452">
        <v>43.09</v>
      </c>
      <c r="I41" s="452">
        <v>8.0500000000000007</v>
      </c>
      <c r="J41" s="57" t="s">
        <v>316</v>
      </c>
    </row>
    <row r="42" spans="1:10" x14ac:dyDescent="0.25">
      <c r="A42" s="46" t="s">
        <v>64</v>
      </c>
      <c r="B42" s="51">
        <v>12.2</v>
      </c>
      <c r="C42" s="51">
        <v>3.98</v>
      </c>
      <c r="D42" s="51">
        <v>8.0399999999999991</v>
      </c>
      <c r="E42" s="450">
        <v>17.190000000000001</v>
      </c>
      <c r="F42" s="51">
        <v>16.96</v>
      </c>
      <c r="G42" s="452">
        <v>107.47</v>
      </c>
      <c r="H42" s="452">
        <v>20.8</v>
      </c>
      <c r="I42" s="452">
        <v>3.87</v>
      </c>
      <c r="J42" s="51" t="s">
        <v>316</v>
      </c>
    </row>
    <row r="43" spans="1:10" x14ac:dyDescent="0.25">
      <c r="A43" s="46" t="s">
        <v>65</v>
      </c>
      <c r="B43" s="51">
        <v>6.96</v>
      </c>
      <c r="C43" s="51">
        <v>2.16</v>
      </c>
      <c r="D43" s="51">
        <v>4.91</v>
      </c>
      <c r="E43" s="450">
        <v>9.92</v>
      </c>
      <c r="F43" s="51">
        <v>9.49</v>
      </c>
      <c r="G43" s="452">
        <v>62.09</v>
      </c>
      <c r="H43" s="452">
        <v>12.43</v>
      </c>
      <c r="I43" s="452">
        <v>2.13</v>
      </c>
      <c r="J43" s="51" t="s">
        <v>316</v>
      </c>
    </row>
    <row r="44" spans="1:10" x14ac:dyDescent="0.25">
      <c r="A44" s="46" t="s">
        <v>66</v>
      </c>
      <c r="B44" s="51">
        <v>6.38</v>
      </c>
      <c r="C44" s="51">
        <v>2.0699999999999998</v>
      </c>
      <c r="D44" s="51">
        <v>5.07</v>
      </c>
      <c r="E44" s="450">
        <v>11.01</v>
      </c>
      <c r="F44" s="51">
        <v>8.82</v>
      </c>
      <c r="G44" s="452">
        <v>58.07</v>
      </c>
      <c r="H44" s="452">
        <v>7.35</v>
      </c>
      <c r="I44" s="452">
        <v>2.38</v>
      </c>
      <c r="J44" s="51" t="s">
        <v>316</v>
      </c>
    </row>
    <row r="45" spans="1:10" x14ac:dyDescent="0.25">
      <c r="A45" s="46" t="s">
        <v>12</v>
      </c>
      <c r="B45" s="51">
        <v>7.87</v>
      </c>
      <c r="C45" s="51">
        <v>2.81</v>
      </c>
      <c r="D45" s="51">
        <v>8</v>
      </c>
      <c r="E45" s="450">
        <v>17.91</v>
      </c>
      <c r="F45" s="51">
        <v>12.23</v>
      </c>
      <c r="G45" s="452">
        <v>90.55</v>
      </c>
      <c r="H45" s="452">
        <v>18.04</v>
      </c>
      <c r="I45" s="452">
        <v>3.66</v>
      </c>
      <c r="J45" s="51" t="s">
        <v>316</v>
      </c>
    </row>
    <row r="46" spans="1:10" x14ac:dyDescent="0.25">
      <c r="A46" s="46" t="s">
        <v>20</v>
      </c>
      <c r="B46" s="51">
        <v>13.96</v>
      </c>
      <c r="C46" s="51">
        <v>5.72</v>
      </c>
      <c r="D46" s="51">
        <v>16.28</v>
      </c>
      <c r="E46" s="450">
        <v>32.130000000000003</v>
      </c>
      <c r="F46" s="51">
        <v>20.66</v>
      </c>
      <c r="G46" s="452">
        <v>156.81</v>
      </c>
      <c r="H46" s="452">
        <v>33.18</v>
      </c>
      <c r="I46" s="452">
        <v>6.91</v>
      </c>
      <c r="J46" s="51" t="s">
        <v>316</v>
      </c>
    </row>
    <row r="47" spans="1:10" x14ac:dyDescent="0.25">
      <c r="A47" s="46" t="s">
        <v>14</v>
      </c>
      <c r="B47" s="51">
        <v>21.53</v>
      </c>
      <c r="C47" s="51">
        <v>9.5299999999999994</v>
      </c>
      <c r="D47" s="51">
        <v>25.72</v>
      </c>
      <c r="E47" s="450">
        <v>45.02</v>
      </c>
      <c r="F47" s="51">
        <v>29.42</v>
      </c>
      <c r="G47" s="452">
        <v>223.34</v>
      </c>
      <c r="H47" s="452">
        <v>41.5</v>
      </c>
      <c r="I47" s="452">
        <v>10.4</v>
      </c>
      <c r="J47" s="51" t="s">
        <v>316</v>
      </c>
    </row>
    <row r="48" spans="1:10" x14ac:dyDescent="0.25">
      <c r="A48" s="46" t="s">
        <v>15</v>
      </c>
      <c r="B48" s="51">
        <v>34.99</v>
      </c>
      <c r="C48" s="51">
        <v>17.260000000000002</v>
      </c>
      <c r="D48" s="51">
        <v>41.33</v>
      </c>
      <c r="E48" s="450">
        <v>67.28</v>
      </c>
      <c r="F48" s="51">
        <v>42.43</v>
      </c>
      <c r="G48" s="452">
        <v>326.83999999999997</v>
      </c>
      <c r="H48" s="452">
        <v>56.63</v>
      </c>
      <c r="I48" s="452">
        <v>15.29</v>
      </c>
      <c r="J48" s="51" t="s">
        <v>316</v>
      </c>
    </row>
    <row r="49" spans="1:10" x14ac:dyDescent="0.25">
      <c r="A49" s="46" t="s">
        <v>16</v>
      </c>
      <c r="B49" s="51">
        <v>46.71</v>
      </c>
      <c r="C49" s="51">
        <v>21.77</v>
      </c>
      <c r="D49" s="51">
        <v>48.95</v>
      </c>
      <c r="E49" s="450">
        <v>85.39</v>
      </c>
      <c r="F49" s="51">
        <v>51.66</v>
      </c>
      <c r="G49" s="452">
        <v>405.59</v>
      </c>
      <c r="H49" s="452">
        <v>70.77</v>
      </c>
      <c r="I49" s="452">
        <v>18.440000000000001</v>
      </c>
      <c r="J49" s="51" t="s">
        <v>316</v>
      </c>
    </row>
    <row r="50" spans="1:10" x14ac:dyDescent="0.25">
      <c r="A50" s="46" t="s">
        <v>17</v>
      </c>
      <c r="B50" s="51">
        <v>53.42</v>
      </c>
      <c r="C50" s="51">
        <v>20.83</v>
      </c>
      <c r="D50" s="51">
        <v>52.25</v>
      </c>
      <c r="E50" s="450">
        <v>90.26</v>
      </c>
      <c r="F50" s="51">
        <v>56.08</v>
      </c>
      <c r="G50" s="452">
        <v>446.78</v>
      </c>
      <c r="H50" s="452">
        <v>80.02</v>
      </c>
      <c r="I50" s="452">
        <v>20.399999999999999</v>
      </c>
      <c r="J50" s="51" t="s">
        <v>316</v>
      </c>
    </row>
    <row r="51" spans="1:10" x14ac:dyDescent="0.25">
      <c r="A51" s="46" t="s">
        <v>21</v>
      </c>
      <c r="B51" s="51">
        <v>46.21</v>
      </c>
      <c r="C51" s="51">
        <v>16.850000000000001</v>
      </c>
      <c r="D51" s="51">
        <v>41.75</v>
      </c>
      <c r="E51" s="450">
        <v>95.77</v>
      </c>
      <c r="F51" s="51">
        <v>50.65</v>
      </c>
      <c r="G51" s="452">
        <v>402</v>
      </c>
      <c r="H51" s="452">
        <v>71.760000000000005</v>
      </c>
      <c r="I51" s="452">
        <v>17.55</v>
      </c>
      <c r="J51" s="51" t="s">
        <v>316</v>
      </c>
    </row>
    <row r="52" spans="1:10" ht="15.75" thickBot="1" x14ac:dyDescent="0.3">
      <c r="A52" s="61" t="s">
        <v>19</v>
      </c>
      <c r="B52" s="100">
        <v>33.369999999999997</v>
      </c>
      <c r="C52" s="100">
        <v>11.37</v>
      </c>
      <c r="D52" s="100">
        <v>26.9</v>
      </c>
      <c r="E52" s="451">
        <v>46.08</v>
      </c>
      <c r="F52" s="100">
        <v>33.380000000000003</v>
      </c>
      <c r="G52" s="453">
        <v>291.8</v>
      </c>
      <c r="H52" s="453">
        <v>51.75</v>
      </c>
      <c r="I52" s="453">
        <v>11.55</v>
      </c>
      <c r="J52" s="100" t="s">
        <v>316</v>
      </c>
    </row>
    <row r="53" spans="1:10" ht="16.5" thickTop="1" thickBot="1" x14ac:dyDescent="0.3">
      <c r="A53" s="400" t="s">
        <v>220</v>
      </c>
      <c r="B53" s="447">
        <f t="shared" ref="B53:I53" si="2">SUM(B41:B52)</f>
        <v>307.29000000000002</v>
      </c>
      <c r="C53" s="447">
        <f t="shared" si="2"/>
        <v>122.53</v>
      </c>
      <c r="D53" s="447">
        <f t="shared" si="2"/>
        <v>295.27</v>
      </c>
      <c r="E53" s="448">
        <f t="shared" si="2"/>
        <v>554.5</v>
      </c>
      <c r="F53" s="447">
        <f t="shared" si="2"/>
        <v>367.01</v>
      </c>
      <c r="G53" s="447">
        <f t="shared" si="2"/>
        <v>2777.2200000000003</v>
      </c>
      <c r="H53" s="447">
        <f t="shared" si="2"/>
        <v>507.31999999999994</v>
      </c>
      <c r="I53" s="454">
        <f t="shared" si="2"/>
        <v>120.63</v>
      </c>
      <c r="J53" s="401" t="s">
        <v>316</v>
      </c>
    </row>
    <row r="54" spans="1:10" ht="15.75" thickTop="1" x14ac:dyDescent="0.25"/>
  </sheetData>
  <mergeCells count="7">
    <mergeCell ref="E23:F23"/>
    <mergeCell ref="A15:D15"/>
    <mergeCell ref="A23:C23"/>
    <mergeCell ref="A16:I16"/>
    <mergeCell ref="A1:N1"/>
    <mergeCell ref="A4:A5"/>
    <mergeCell ref="B4:N4"/>
  </mergeCells>
  <printOptions horizontalCentered="1"/>
  <pageMargins left="0.45" right="0.45" top="0.5" bottom="0.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4"/>
  <sheetViews>
    <sheetView rightToLeft="1" view="pageBreakPreview" zoomScale="120" zoomScaleSheetLayoutView="120" workbookViewId="0">
      <selection sqref="A1:G1"/>
    </sheetView>
  </sheetViews>
  <sheetFormatPr defaultColWidth="13.85546875" defaultRowHeight="21" x14ac:dyDescent="0.55000000000000004"/>
  <cols>
    <col min="1" max="1" width="22.28515625" style="22" customWidth="1"/>
    <col min="2" max="2" width="15.5703125" style="22" customWidth="1"/>
    <col min="3" max="4" width="15.5703125" customWidth="1"/>
    <col min="5" max="5" width="0.85546875" customWidth="1"/>
    <col min="6" max="6" width="16.140625" customWidth="1"/>
    <col min="7" max="7" width="15.5703125" customWidth="1"/>
  </cols>
  <sheetData>
    <row r="1" spans="1:8" ht="20.25" customHeight="1" x14ac:dyDescent="0.25">
      <c r="A1" s="816" t="s">
        <v>443</v>
      </c>
      <c r="B1" s="816"/>
      <c r="C1" s="816"/>
      <c r="D1" s="816"/>
      <c r="E1" s="816"/>
      <c r="F1" s="816"/>
      <c r="G1" s="816"/>
    </row>
    <row r="2" spans="1:8" s="154" customFormat="1" ht="20.25" customHeight="1" x14ac:dyDescent="0.25">
      <c r="A2" s="766" t="s">
        <v>383</v>
      </c>
      <c r="B2" s="766"/>
      <c r="C2" s="766"/>
      <c r="D2" s="766"/>
      <c r="E2" s="766"/>
      <c r="F2" s="766"/>
      <c r="G2" s="766"/>
    </row>
    <row r="3" spans="1:8" ht="5.25" customHeight="1" thickBot="1" x14ac:dyDescent="0.6"/>
    <row r="4" spans="1:8" s="23" customFormat="1" ht="31.5" customHeight="1" thickTop="1" x14ac:dyDescent="0.25">
      <c r="A4" s="792" t="s">
        <v>67</v>
      </c>
      <c r="B4" s="792" t="s">
        <v>68</v>
      </c>
      <c r="C4" s="796" t="s">
        <v>404</v>
      </c>
      <c r="D4" s="796"/>
      <c r="E4" s="171"/>
      <c r="F4" s="796" t="s">
        <v>479</v>
      </c>
      <c r="G4" s="796"/>
    </row>
    <row r="5" spans="1:8" s="23" customFormat="1" ht="29.25" customHeight="1" x14ac:dyDescent="0.25">
      <c r="A5" s="793"/>
      <c r="B5" s="793"/>
      <c r="C5" s="173" t="s">
        <v>69</v>
      </c>
      <c r="D5" s="173" t="s">
        <v>417</v>
      </c>
      <c r="E5" s="172"/>
      <c r="F5" s="173" t="s">
        <v>69</v>
      </c>
      <c r="G5" s="173" t="s">
        <v>417</v>
      </c>
    </row>
    <row r="6" spans="1:8" s="24" customFormat="1" ht="24.75" customHeight="1" x14ac:dyDescent="0.25">
      <c r="A6" s="819" t="s">
        <v>70</v>
      </c>
      <c r="B6" s="66" t="s">
        <v>31</v>
      </c>
      <c r="C6" s="72">
        <v>316.55</v>
      </c>
      <c r="D6" s="72">
        <v>5.9779999999999998</v>
      </c>
      <c r="E6" s="71"/>
      <c r="F6" s="72">
        <v>320.77999999999997</v>
      </c>
      <c r="G6" s="72">
        <v>7.2279999999999998</v>
      </c>
    </row>
    <row r="7" spans="1:8" s="24" customFormat="1" ht="24.75" customHeight="1" x14ac:dyDescent="0.25">
      <c r="A7" s="820"/>
      <c r="B7" s="67" t="s">
        <v>61</v>
      </c>
      <c r="C7" s="74">
        <v>145.68</v>
      </c>
      <c r="D7" s="74">
        <v>7.609</v>
      </c>
      <c r="E7" s="73"/>
      <c r="F7" s="74">
        <v>145.15</v>
      </c>
      <c r="G7" s="74">
        <v>7.3390000000000004</v>
      </c>
    </row>
    <row r="8" spans="1:8" s="24" customFormat="1" ht="24.75" customHeight="1" x14ac:dyDescent="0.25">
      <c r="A8" s="820"/>
      <c r="B8" s="67" t="s">
        <v>60</v>
      </c>
      <c r="C8" s="74">
        <v>56.56</v>
      </c>
      <c r="D8" s="74">
        <v>25.428999999999998</v>
      </c>
      <c r="E8" s="73"/>
      <c r="F8" s="74">
        <v>54.66</v>
      </c>
      <c r="G8" s="74">
        <v>21.571000000000002</v>
      </c>
    </row>
    <row r="9" spans="1:8" s="24" customFormat="1" ht="24.75" customHeight="1" x14ac:dyDescent="0.25">
      <c r="A9" s="820"/>
      <c r="B9" s="68" t="s">
        <v>62</v>
      </c>
      <c r="C9" s="76">
        <v>49.61</v>
      </c>
      <c r="D9" s="76">
        <v>2.012</v>
      </c>
      <c r="E9" s="75"/>
      <c r="F9" s="76">
        <v>49.88</v>
      </c>
      <c r="G9" s="76">
        <v>2.1179999999999999</v>
      </c>
    </row>
    <row r="10" spans="1:8" s="24" customFormat="1" ht="24.75" customHeight="1" x14ac:dyDescent="0.25">
      <c r="A10" s="821"/>
      <c r="B10" s="70" t="s">
        <v>206</v>
      </c>
      <c r="C10" s="191"/>
      <c r="D10" s="78">
        <f>SUM(D6:D9)</f>
        <v>41.027999999999999</v>
      </c>
      <c r="E10" s="77"/>
      <c r="F10" s="191"/>
      <c r="G10" s="78">
        <f>SUM(G6:G9)</f>
        <v>38.256000000000007</v>
      </c>
      <c r="H10" s="482">
        <f>D10+D11+D12+D15</f>
        <v>50.472999999999999</v>
      </c>
    </row>
    <row r="11" spans="1:8" s="24" customFormat="1" ht="24.75" customHeight="1" x14ac:dyDescent="0.25">
      <c r="A11" s="145" t="s">
        <v>223</v>
      </c>
      <c r="B11" s="69" t="s">
        <v>58</v>
      </c>
      <c r="C11" s="81">
        <v>503.12</v>
      </c>
      <c r="D11" s="81">
        <v>4.7839999999999998</v>
      </c>
      <c r="E11" s="80"/>
      <c r="F11" s="81">
        <v>497.16</v>
      </c>
      <c r="G11" s="81">
        <v>3.4169999999999998</v>
      </c>
    </row>
    <row r="12" spans="1:8" s="24" customFormat="1" ht="24.75" customHeight="1" x14ac:dyDescent="0.25">
      <c r="A12" s="70" t="s">
        <v>71</v>
      </c>
      <c r="B12" s="70" t="s">
        <v>72</v>
      </c>
      <c r="C12" s="83">
        <v>128.4</v>
      </c>
      <c r="D12" s="78">
        <v>1.2490000000000001</v>
      </c>
      <c r="E12" s="82"/>
      <c r="F12" s="83">
        <v>124.38</v>
      </c>
      <c r="G12" s="78">
        <v>0.872</v>
      </c>
    </row>
    <row r="13" spans="1:8" s="24" customFormat="1" ht="24.75" customHeight="1" x14ac:dyDescent="0.25">
      <c r="A13" s="819" t="s">
        <v>199</v>
      </c>
      <c r="B13" s="66" t="s">
        <v>59</v>
      </c>
      <c r="C13" s="72">
        <v>471.51</v>
      </c>
      <c r="D13" s="72">
        <v>1.4470000000000001</v>
      </c>
      <c r="E13" s="71"/>
      <c r="F13" s="72">
        <v>468.5</v>
      </c>
      <c r="G13" s="72">
        <v>1.292</v>
      </c>
    </row>
    <row r="14" spans="1:8" s="24" customFormat="1" ht="24.75" customHeight="1" x14ac:dyDescent="0.25">
      <c r="A14" s="820"/>
      <c r="B14" s="68" t="s">
        <v>42</v>
      </c>
      <c r="C14" s="76">
        <v>102.57</v>
      </c>
      <c r="D14" s="76">
        <v>1.9650000000000001</v>
      </c>
      <c r="E14" s="84"/>
      <c r="F14" s="76">
        <v>96.9</v>
      </c>
      <c r="G14" s="76">
        <v>0.75900000000000001</v>
      </c>
    </row>
    <row r="15" spans="1:8" s="24" customFormat="1" ht="24.75" customHeight="1" x14ac:dyDescent="0.25">
      <c r="A15" s="821"/>
      <c r="B15" s="70" t="s">
        <v>206</v>
      </c>
      <c r="C15" s="191"/>
      <c r="D15" s="78">
        <f>SUM(D13:D14)</f>
        <v>3.4119999999999999</v>
      </c>
      <c r="E15" s="77"/>
      <c r="F15" s="191"/>
      <c r="G15" s="78">
        <f>SUM(G13:G14)</f>
        <v>2.0510000000000002</v>
      </c>
    </row>
    <row r="16" spans="1:8" s="24" customFormat="1" ht="24.75" customHeight="1" thickBot="1" x14ac:dyDescent="0.3">
      <c r="A16" s="818" t="s">
        <v>374</v>
      </c>
      <c r="B16" s="818"/>
      <c r="C16" s="638"/>
      <c r="D16" s="639">
        <f>D10+D11+D12+D15</f>
        <v>50.472999999999999</v>
      </c>
      <c r="E16" s="640"/>
      <c r="F16" s="638"/>
      <c r="G16" s="639">
        <v>44.6</v>
      </c>
    </row>
    <row r="17" spans="1:19" s="25" customFormat="1" ht="9" customHeight="1" thickTop="1" x14ac:dyDescent="0.25">
      <c r="A17" s="114"/>
      <c r="B17" s="114"/>
      <c r="C17" s="79"/>
      <c r="D17" s="79"/>
      <c r="E17" s="79"/>
      <c r="F17" s="99"/>
      <c r="G17" s="113"/>
    </row>
    <row r="18" spans="1:19" s="24" customFormat="1" ht="24.75" customHeight="1" x14ac:dyDescent="0.25">
      <c r="A18" s="510" t="s">
        <v>4</v>
      </c>
      <c r="B18" s="658"/>
      <c r="C18" s="112"/>
      <c r="D18" s="112"/>
      <c r="E18" s="112"/>
      <c r="F18" s="26"/>
      <c r="G18" s="26"/>
    </row>
    <row r="19" spans="1:19" s="24" customFormat="1" ht="24.75" customHeight="1" x14ac:dyDescent="0.25">
      <c r="A19" s="812"/>
      <c r="B19" s="812"/>
      <c r="C19" s="812"/>
      <c r="D19" s="812"/>
      <c r="E19" s="812"/>
      <c r="F19" s="510"/>
      <c r="G19" s="50"/>
    </row>
    <row r="20" spans="1:19" s="24" customFormat="1" ht="24.75" customHeight="1" x14ac:dyDescent="0.25">
      <c r="B20" s="510"/>
      <c r="C20" s="510"/>
      <c r="D20" s="510"/>
      <c r="E20" s="510"/>
      <c r="F20" s="510"/>
      <c r="G20" s="50"/>
    </row>
    <row r="21" spans="1:19" ht="22.5" customHeight="1" x14ac:dyDescent="0.25">
      <c r="A21" s="510"/>
      <c r="B21" s="510"/>
      <c r="C21" s="510"/>
      <c r="D21" s="510"/>
      <c r="E21" s="510"/>
      <c r="F21" s="27"/>
      <c r="G21" s="12"/>
    </row>
    <row r="22" spans="1:19" ht="22.5" customHeight="1" x14ac:dyDescent="0.25">
      <c r="A22" s="813" t="s">
        <v>228</v>
      </c>
      <c r="B22" s="813"/>
      <c r="C22" s="515"/>
      <c r="D22" s="516"/>
      <c r="E22" s="516"/>
      <c r="F22" s="43"/>
      <c r="G22" s="43">
        <v>21</v>
      </c>
      <c r="H22" s="7"/>
      <c r="I22" s="7"/>
      <c r="J22" s="7"/>
      <c r="K22" s="7"/>
      <c r="L22" s="7"/>
      <c r="M22" s="7"/>
      <c r="N22" s="7"/>
      <c r="O22" s="7"/>
      <c r="P22" s="7"/>
      <c r="Q22" s="7"/>
      <c r="S22" s="9"/>
    </row>
    <row r="23" spans="1:19" x14ac:dyDescent="0.55000000000000004">
      <c r="C23" s="817"/>
      <c r="D23" s="817"/>
      <c r="E23" s="468"/>
      <c r="F23" s="14"/>
      <c r="G23" s="14"/>
    </row>
    <row r="24" spans="1:19" x14ac:dyDescent="0.55000000000000004">
      <c r="A24" s="110"/>
      <c r="B24" s="110"/>
      <c r="C24" s="14"/>
      <c r="D24" s="14"/>
      <c r="E24" s="14"/>
    </row>
  </sheetData>
  <mergeCells count="12">
    <mergeCell ref="C23:D23"/>
    <mergeCell ref="A22:B22"/>
    <mergeCell ref="A19:E19"/>
    <mergeCell ref="A16:B16"/>
    <mergeCell ref="A6:A10"/>
    <mergeCell ref="A13:A15"/>
    <mergeCell ref="A1:G1"/>
    <mergeCell ref="A2:G2"/>
    <mergeCell ref="A4:A5"/>
    <mergeCell ref="B4:B5"/>
    <mergeCell ref="C4:D4"/>
    <mergeCell ref="F4:G4"/>
  </mergeCells>
  <printOptions horizontalCentered="1"/>
  <pageMargins left="0.45" right="0.45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F18"/>
  <sheetViews>
    <sheetView rightToLeft="1" view="pageBreakPreview" zoomScaleNormal="100" zoomScaleSheetLayoutView="100" workbookViewId="0">
      <selection sqref="A1:O1"/>
    </sheetView>
  </sheetViews>
  <sheetFormatPr defaultColWidth="8.7109375" defaultRowHeight="15" x14ac:dyDescent="0.25"/>
  <cols>
    <col min="1" max="1" width="11.42578125" customWidth="1"/>
    <col min="2" max="2" width="12.42578125" customWidth="1"/>
    <col min="3" max="6" width="9" customWidth="1"/>
    <col min="7" max="14" width="8.42578125" customWidth="1"/>
    <col min="15" max="15" width="9" customWidth="1"/>
    <col min="30" max="30" width="12.28515625" bestFit="1" customWidth="1"/>
    <col min="32" max="32" width="10.42578125" bestFit="1" customWidth="1"/>
  </cols>
  <sheetData>
    <row r="1" spans="1:32" ht="27.75" customHeight="1" x14ac:dyDescent="0.25">
      <c r="A1" s="814" t="s">
        <v>480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</row>
    <row r="2" spans="1:32" ht="27.75" customHeight="1" thickBot="1" x14ac:dyDescent="0.3">
      <c r="A2" s="649" t="s">
        <v>429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O2" s="519"/>
    </row>
    <row r="3" spans="1:32" ht="27.75" customHeight="1" thickTop="1" thickBot="1" x14ac:dyDescent="0.3">
      <c r="A3" s="761" t="s">
        <v>0</v>
      </c>
      <c r="B3" s="761" t="s">
        <v>1</v>
      </c>
      <c r="C3" s="815" t="s">
        <v>509</v>
      </c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</row>
    <row r="4" spans="1:32" ht="45.75" customHeight="1" thickTop="1" x14ac:dyDescent="0.25">
      <c r="A4" s="762"/>
      <c r="B4" s="762"/>
      <c r="C4" s="737" t="s">
        <v>63</v>
      </c>
      <c r="D4" s="737" t="s">
        <v>64</v>
      </c>
      <c r="E4" s="737" t="s">
        <v>65</v>
      </c>
      <c r="F4" s="737" t="s">
        <v>66</v>
      </c>
      <c r="G4" s="737" t="s">
        <v>12</v>
      </c>
      <c r="H4" s="737" t="s">
        <v>20</v>
      </c>
      <c r="I4" s="737" t="s">
        <v>14</v>
      </c>
      <c r="J4" s="737" t="s">
        <v>15</v>
      </c>
      <c r="K4" s="737" t="s">
        <v>16</v>
      </c>
      <c r="L4" s="737" t="s">
        <v>17</v>
      </c>
      <c r="M4" s="737" t="s">
        <v>21</v>
      </c>
      <c r="N4" s="737" t="s">
        <v>19</v>
      </c>
      <c r="O4" s="737" t="s">
        <v>510</v>
      </c>
    </row>
    <row r="5" spans="1:32" ht="27.75" customHeight="1" x14ac:dyDescent="0.25">
      <c r="A5" s="769" t="s">
        <v>60</v>
      </c>
      <c r="B5" s="392" t="s">
        <v>403</v>
      </c>
      <c r="C5" s="734">
        <v>9</v>
      </c>
      <c r="D5" s="734">
        <v>55</v>
      </c>
      <c r="E5" s="734">
        <v>822</v>
      </c>
      <c r="F5" s="734">
        <v>574</v>
      </c>
      <c r="G5" s="734">
        <v>1465</v>
      </c>
      <c r="H5" s="734">
        <v>1794</v>
      </c>
      <c r="I5" s="734">
        <v>4026</v>
      </c>
      <c r="J5" s="734">
        <v>3530</v>
      </c>
      <c r="K5" s="734">
        <v>800</v>
      </c>
      <c r="L5" s="734">
        <v>152</v>
      </c>
      <c r="M5" s="734">
        <v>0</v>
      </c>
      <c r="N5" s="734">
        <v>0</v>
      </c>
      <c r="O5" s="697">
        <v>34.760556000000001</v>
      </c>
      <c r="Q5" s="392">
        <v>9</v>
      </c>
      <c r="R5" s="392">
        <v>55</v>
      </c>
      <c r="S5" s="392">
        <v>822</v>
      </c>
      <c r="T5" s="392">
        <v>574</v>
      </c>
      <c r="U5" s="392">
        <v>1465</v>
      </c>
      <c r="V5" s="392">
        <v>1794</v>
      </c>
      <c r="W5" s="392">
        <v>4026</v>
      </c>
      <c r="X5" s="392">
        <v>3530</v>
      </c>
      <c r="Y5" s="392">
        <v>800</v>
      </c>
      <c r="Z5" s="392">
        <v>152</v>
      </c>
      <c r="AA5" s="392">
        <v>0</v>
      </c>
      <c r="AB5" s="392">
        <v>0</v>
      </c>
      <c r="AC5">
        <f t="shared" ref="AC5:AC10" si="0">SUM(Q5:AB5)</f>
        <v>13227</v>
      </c>
      <c r="AD5">
        <f>AC5*60*60*24*365</f>
        <v>417126672000</v>
      </c>
      <c r="AE5">
        <f>AD5/1000000000</f>
        <v>417.12667199999999</v>
      </c>
      <c r="AF5" s="10">
        <f>AE5/12</f>
        <v>34.760556000000001</v>
      </c>
    </row>
    <row r="6" spans="1:32" ht="27.75" customHeight="1" x14ac:dyDescent="0.25">
      <c r="A6" s="791"/>
      <c r="B6" s="290" t="s">
        <v>477</v>
      </c>
      <c r="C6" s="735">
        <v>0</v>
      </c>
      <c r="D6" s="735">
        <v>0</v>
      </c>
      <c r="E6" s="735">
        <v>46</v>
      </c>
      <c r="F6" s="735">
        <v>43</v>
      </c>
      <c r="G6" s="735">
        <v>203</v>
      </c>
      <c r="H6" s="735">
        <v>616</v>
      </c>
      <c r="I6" s="735">
        <v>821</v>
      </c>
      <c r="J6" s="735">
        <v>606</v>
      </c>
      <c r="K6" s="735">
        <v>51</v>
      </c>
      <c r="L6" s="735">
        <v>0</v>
      </c>
      <c r="M6" s="735">
        <v>0</v>
      </c>
      <c r="N6" s="735">
        <v>0</v>
      </c>
      <c r="O6" s="698">
        <v>6.2704079999999998</v>
      </c>
      <c r="Q6" s="290">
        <v>0</v>
      </c>
      <c r="R6" s="290">
        <v>0</v>
      </c>
      <c r="S6" s="290">
        <v>46</v>
      </c>
      <c r="T6" s="290">
        <v>43</v>
      </c>
      <c r="U6" s="290">
        <v>203</v>
      </c>
      <c r="V6" s="290">
        <v>616</v>
      </c>
      <c r="W6" s="290">
        <v>821</v>
      </c>
      <c r="X6" s="290">
        <v>606</v>
      </c>
      <c r="Y6" s="290">
        <v>51</v>
      </c>
      <c r="Z6" s="290">
        <v>0</v>
      </c>
      <c r="AA6" s="290">
        <v>0</v>
      </c>
      <c r="AB6" s="290">
        <v>0</v>
      </c>
      <c r="AC6" s="10">
        <f t="shared" si="0"/>
        <v>2386</v>
      </c>
      <c r="AD6">
        <f t="shared" ref="AD6:AD10" si="1">AC6*60*60*24*365</f>
        <v>75244896000</v>
      </c>
      <c r="AE6">
        <f t="shared" ref="AE6:AE10" si="2">AD6/1000000000</f>
        <v>75.244895999999997</v>
      </c>
      <c r="AF6" s="10">
        <f t="shared" ref="AF6:AF10" si="3">AE6/12</f>
        <v>6.2704079999999998</v>
      </c>
    </row>
    <row r="7" spans="1:32" ht="27.75" customHeight="1" x14ac:dyDescent="0.25">
      <c r="A7" s="769" t="s">
        <v>62</v>
      </c>
      <c r="B7" s="392" t="s">
        <v>403</v>
      </c>
      <c r="C7" s="734">
        <v>0</v>
      </c>
      <c r="D7" s="734">
        <v>5</v>
      </c>
      <c r="E7" s="734">
        <v>10</v>
      </c>
      <c r="F7" s="734">
        <v>16</v>
      </c>
      <c r="G7" s="734">
        <v>14</v>
      </c>
      <c r="H7" s="734">
        <v>28</v>
      </c>
      <c r="I7" s="734">
        <v>17</v>
      </c>
      <c r="J7" s="734">
        <v>14</v>
      </c>
      <c r="K7" s="734">
        <v>188</v>
      </c>
      <c r="L7" s="734">
        <v>182</v>
      </c>
      <c r="M7" s="734">
        <v>301</v>
      </c>
      <c r="N7" s="734">
        <v>283</v>
      </c>
      <c r="O7" s="697">
        <v>2.780424</v>
      </c>
      <c r="Q7" s="392">
        <v>0</v>
      </c>
      <c r="R7" s="392">
        <v>5</v>
      </c>
      <c r="S7" s="392">
        <v>10</v>
      </c>
      <c r="T7" s="392">
        <v>16</v>
      </c>
      <c r="U7" s="392">
        <v>14</v>
      </c>
      <c r="V7" s="392">
        <v>28</v>
      </c>
      <c r="W7" s="392">
        <v>17</v>
      </c>
      <c r="X7" s="392">
        <v>14</v>
      </c>
      <c r="Y7" s="392">
        <v>188</v>
      </c>
      <c r="Z7" s="392">
        <v>182</v>
      </c>
      <c r="AA7" s="392">
        <v>301</v>
      </c>
      <c r="AB7" s="392">
        <v>283</v>
      </c>
      <c r="AC7">
        <f t="shared" si="0"/>
        <v>1058</v>
      </c>
      <c r="AD7">
        <f t="shared" si="1"/>
        <v>33365088000</v>
      </c>
      <c r="AE7">
        <f t="shared" si="2"/>
        <v>33.365088</v>
      </c>
      <c r="AF7" s="10">
        <f t="shared" si="3"/>
        <v>2.780424</v>
      </c>
    </row>
    <row r="8" spans="1:32" ht="27.75" customHeight="1" x14ac:dyDescent="0.25">
      <c r="A8" s="791"/>
      <c r="B8" s="290" t="s">
        <v>477</v>
      </c>
      <c r="C8" s="735">
        <v>92</v>
      </c>
      <c r="D8" s="735">
        <v>78</v>
      </c>
      <c r="E8" s="735">
        <v>169</v>
      </c>
      <c r="F8" s="735">
        <v>282</v>
      </c>
      <c r="G8" s="735">
        <v>112</v>
      </c>
      <c r="H8" s="735">
        <v>348</v>
      </c>
      <c r="I8" s="735">
        <v>178</v>
      </c>
      <c r="J8" s="735">
        <v>64</v>
      </c>
      <c r="K8" s="735">
        <v>47</v>
      </c>
      <c r="L8" s="735">
        <v>69</v>
      </c>
      <c r="M8" s="735">
        <v>108</v>
      </c>
      <c r="N8" s="735">
        <v>103</v>
      </c>
      <c r="O8" s="698">
        <v>4.3361999999999998</v>
      </c>
      <c r="Q8" s="290">
        <v>92</v>
      </c>
      <c r="R8" s="290">
        <v>78</v>
      </c>
      <c r="S8" s="290">
        <v>169</v>
      </c>
      <c r="T8" s="290">
        <v>282</v>
      </c>
      <c r="U8" s="290">
        <v>112</v>
      </c>
      <c r="V8" s="290">
        <v>348</v>
      </c>
      <c r="W8" s="290">
        <v>178</v>
      </c>
      <c r="X8" s="290">
        <v>64</v>
      </c>
      <c r="Y8" s="290">
        <v>47</v>
      </c>
      <c r="Z8" s="290">
        <v>69</v>
      </c>
      <c r="AA8" s="290">
        <v>108</v>
      </c>
      <c r="AB8" s="290">
        <v>103</v>
      </c>
      <c r="AC8" s="10">
        <f t="shared" si="0"/>
        <v>1650</v>
      </c>
      <c r="AD8">
        <f t="shared" si="1"/>
        <v>52034400000</v>
      </c>
      <c r="AE8">
        <f t="shared" si="2"/>
        <v>52.034399999999998</v>
      </c>
      <c r="AF8" s="10">
        <f t="shared" si="3"/>
        <v>4.3361999999999998</v>
      </c>
    </row>
    <row r="9" spans="1:32" ht="27.75" customHeight="1" x14ac:dyDescent="0.25">
      <c r="A9" s="799" t="s">
        <v>494</v>
      </c>
      <c r="B9" s="392" t="s">
        <v>403</v>
      </c>
      <c r="C9" s="734">
        <v>0</v>
      </c>
      <c r="D9" s="734">
        <v>0</v>
      </c>
      <c r="E9" s="734">
        <v>0</v>
      </c>
      <c r="F9" s="734">
        <v>0</v>
      </c>
      <c r="G9" s="734">
        <v>0</v>
      </c>
      <c r="H9" s="734">
        <v>0</v>
      </c>
      <c r="I9" s="734">
        <v>0</v>
      </c>
      <c r="J9" s="734">
        <v>0</v>
      </c>
      <c r="K9" s="734">
        <v>0</v>
      </c>
      <c r="L9" s="734">
        <v>0</v>
      </c>
      <c r="M9" s="734">
        <v>0</v>
      </c>
      <c r="N9" s="734">
        <v>0</v>
      </c>
      <c r="O9" s="697">
        <v>0</v>
      </c>
      <c r="Q9" s="392">
        <v>0</v>
      </c>
      <c r="R9" s="392">
        <v>0</v>
      </c>
      <c r="S9" s="392">
        <v>0</v>
      </c>
      <c r="T9" s="392">
        <v>0</v>
      </c>
      <c r="U9" s="392">
        <v>0</v>
      </c>
      <c r="V9" s="392">
        <v>0</v>
      </c>
      <c r="W9" s="392">
        <v>0</v>
      </c>
      <c r="X9" s="392">
        <v>0</v>
      </c>
      <c r="Y9" s="392">
        <v>0</v>
      </c>
      <c r="Z9" s="392">
        <v>0</v>
      </c>
      <c r="AA9" s="392">
        <v>0</v>
      </c>
      <c r="AB9" s="392">
        <v>0</v>
      </c>
      <c r="AC9">
        <f t="shared" si="0"/>
        <v>0</v>
      </c>
      <c r="AD9">
        <f t="shared" si="1"/>
        <v>0</v>
      </c>
      <c r="AE9">
        <f t="shared" si="2"/>
        <v>0</v>
      </c>
      <c r="AF9" s="10">
        <f t="shared" si="3"/>
        <v>0</v>
      </c>
    </row>
    <row r="10" spans="1:32" ht="27.75" customHeight="1" thickBot="1" x14ac:dyDescent="0.3">
      <c r="A10" s="822"/>
      <c r="B10" s="291" t="s">
        <v>477</v>
      </c>
      <c r="C10" s="736">
        <v>0</v>
      </c>
      <c r="D10" s="736">
        <v>0</v>
      </c>
      <c r="E10" s="736">
        <v>94</v>
      </c>
      <c r="F10" s="736">
        <v>83</v>
      </c>
      <c r="G10" s="736">
        <v>34</v>
      </c>
      <c r="H10" s="736">
        <v>0</v>
      </c>
      <c r="I10" s="736">
        <v>0</v>
      </c>
      <c r="J10" s="736">
        <v>0</v>
      </c>
      <c r="K10" s="736">
        <v>0</v>
      </c>
      <c r="L10" s="736">
        <v>0</v>
      </c>
      <c r="M10" s="736">
        <v>0</v>
      </c>
      <c r="N10" s="736">
        <v>0</v>
      </c>
      <c r="O10" s="699">
        <v>0.554508</v>
      </c>
      <c r="Q10" s="291">
        <v>0</v>
      </c>
      <c r="R10" s="291">
        <v>0</v>
      </c>
      <c r="S10" s="291">
        <v>94</v>
      </c>
      <c r="T10" s="291">
        <v>83</v>
      </c>
      <c r="U10" s="291">
        <v>34</v>
      </c>
      <c r="V10" s="291">
        <v>0</v>
      </c>
      <c r="W10" s="291">
        <v>0</v>
      </c>
      <c r="X10" s="291">
        <v>0</v>
      </c>
      <c r="Y10" s="291">
        <v>0</v>
      </c>
      <c r="Z10" s="291">
        <v>0</v>
      </c>
      <c r="AA10" s="291">
        <v>0</v>
      </c>
      <c r="AB10" s="291">
        <v>0</v>
      </c>
      <c r="AC10" s="10">
        <f t="shared" si="0"/>
        <v>211</v>
      </c>
      <c r="AD10">
        <f t="shared" si="1"/>
        <v>6654096000</v>
      </c>
      <c r="AE10">
        <f t="shared" si="2"/>
        <v>6.654096</v>
      </c>
      <c r="AF10" s="10">
        <f t="shared" si="3"/>
        <v>0.554508</v>
      </c>
    </row>
    <row r="11" spans="1:32" ht="9.75" customHeight="1" thickTop="1" x14ac:dyDescent="0.25">
      <c r="A11" s="812"/>
      <c r="B11" s="812"/>
      <c r="C11" s="812"/>
      <c r="D11" s="812"/>
      <c r="E11" s="812"/>
      <c r="F11" s="14"/>
      <c r="G11" s="14"/>
    </row>
    <row r="12" spans="1:32" ht="27.75" customHeight="1" x14ac:dyDescent="0.25">
      <c r="A12" s="809" t="s">
        <v>4</v>
      </c>
      <c r="B12" s="809"/>
      <c r="C12" s="809"/>
      <c r="D12" s="809"/>
      <c r="E12" s="809"/>
      <c r="F12" s="809"/>
      <c r="G12" s="809"/>
      <c r="H12" s="809"/>
      <c r="I12" s="809"/>
      <c r="J12" s="809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8"/>
      <c r="AD12" s="14"/>
      <c r="AE12" s="14"/>
      <c r="AF12" s="709"/>
    </row>
    <row r="13" spans="1:32" x14ac:dyDescent="0.25">
      <c r="A13" s="685"/>
      <c r="B13" s="685"/>
      <c r="C13" s="685"/>
      <c r="D13" s="685"/>
      <c r="E13" s="685"/>
      <c r="F13" s="685"/>
      <c r="G13" s="685"/>
      <c r="H13" s="685"/>
      <c r="I13" s="685"/>
      <c r="J13" s="685"/>
      <c r="Q13" s="707"/>
      <c r="R13" s="707"/>
      <c r="S13" s="707"/>
      <c r="T13" s="707"/>
      <c r="U13" s="707"/>
      <c r="V13" s="707"/>
      <c r="W13" s="707"/>
      <c r="X13" s="707"/>
      <c r="Y13" s="707"/>
      <c r="Z13" s="707"/>
      <c r="AA13" s="707"/>
      <c r="AB13" s="707"/>
      <c r="AC13" s="14"/>
      <c r="AD13" s="14"/>
      <c r="AE13" s="14"/>
      <c r="AF13" s="14"/>
    </row>
    <row r="14" spans="1:32" x14ac:dyDescent="0.25">
      <c r="A14" s="685"/>
      <c r="B14" s="685"/>
      <c r="C14" s="685"/>
      <c r="D14" s="685"/>
      <c r="E14" s="685"/>
      <c r="F14" s="685"/>
      <c r="G14" s="685"/>
      <c r="H14" s="685"/>
      <c r="I14" s="685"/>
      <c r="J14" s="685"/>
      <c r="Q14" s="707"/>
      <c r="R14" s="707"/>
      <c r="S14" s="707"/>
      <c r="T14" s="707"/>
      <c r="U14" s="707"/>
      <c r="V14" s="707"/>
      <c r="W14" s="707"/>
      <c r="X14" s="707"/>
      <c r="Y14" s="707"/>
      <c r="Z14" s="707"/>
      <c r="AA14" s="707"/>
      <c r="AB14" s="707"/>
      <c r="AC14" s="14"/>
      <c r="AD14" s="14"/>
      <c r="AE14" s="14"/>
      <c r="AF14" s="14"/>
    </row>
    <row r="15" spans="1:32" ht="27.75" customHeight="1" x14ac:dyDescent="0.25">
      <c r="A15" s="685"/>
      <c r="B15" s="685"/>
      <c r="C15" s="685"/>
      <c r="D15" s="685"/>
      <c r="E15" s="685"/>
      <c r="F15" s="685"/>
      <c r="G15" s="685"/>
      <c r="H15" s="685"/>
      <c r="I15" s="685"/>
      <c r="J15" s="685"/>
      <c r="Q15" s="707"/>
      <c r="R15" s="707"/>
      <c r="S15" s="707"/>
      <c r="T15" s="707"/>
      <c r="U15" s="707"/>
      <c r="V15" s="707"/>
      <c r="W15" s="707"/>
      <c r="X15" s="707"/>
      <c r="Y15" s="707"/>
      <c r="Z15" s="707"/>
      <c r="AA15" s="707"/>
      <c r="AB15" s="707"/>
      <c r="AC15" s="14"/>
      <c r="AD15" s="14"/>
      <c r="AE15" s="14"/>
      <c r="AF15" s="14"/>
    </row>
    <row r="16" spans="1:32" ht="27.75" customHeight="1" x14ac:dyDescent="0.25">
      <c r="A16" s="685"/>
      <c r="B16" s="685"/>
      <c r="C16" s="685"/>
      <c r="D16" s="685"/>
      <c r="E16" s="685"/>
      <c r="F16" s="685"/>
      <c r="G16" s="685"/>
      <c r="H16" s="685"/>
      <c r="I16" s="685"/>
      <c r="J16" s="685"/>
      <c r="Q16" s="707"/>
      <c r="R16" s="707"/>
      <c r="S16" s="707"/>
      <c r="T16" s="707"/>
      <c r="U16" s="707"/>
      <c r="V16" s="707"/>
      <c r="W16" s="707"/>
      <c r="X16" s="707"/>
      <c r="Y16" s="707"/>
      <c r="Z16" s="707"/>
      <c r="AA16" s="707"/>
      <c r="AB16" s="707"/>
      <c r="AC16" s="14"/>
      <c r="AD16" s="14"/>
      <c r="AE16" s="14"/>
      <c r="AF16" s="14"/>
    </row>
    <row r="17" spans="1:32" ht="27.75" customHeight="1" x14ac:dyDescent="0.25">
      <c r="F17" s="21"/>
      <c r="G17" s="21"/>
      <c r="Q17" s="707"/>
      <c r="R17" s="707"/>
      <c r="S17" s="707"/>
      <c r="T17" s="707"/>
      <c r="U17" s="707"/>
      <c r="V17" s="707"/>
      <c r="W17" s="707"/>
      <c r="X17" s="707"/>
      <c r="Y17" s="707"/>
      <c r="Z17" s="707"/>
      <c r="AA17" s="707"/>
      <c r="AB17" s="707"/>
      <c r="AC17" s="14"/>
      <c r="AD17" s="14"/>
      <c r="AE17" s="14"/>
      <c r="AF17" s="14"/>
    </row>
    <row r="18" spans="1:32" ht="27.75" customHeight="1" x14ac:dyDescent="0.25">
      <c r="A18" s="813" t="s">
        <v>228</v>
      </c>
      <c r="B18" s="813"/>
      <c r="C18" s="813"/>
      <c r="D18" s="813"/>
      <c r="E18" s="813"/>
      <c r="F18" s="813"/>
      <c r="G18" s="813"/>
      <c r="H18" s="104"/>
      <c r="I18" s="104"/>
      <c r="J18" s="104"/>
      <c r="K18" s="104"/>
      <c r="L18" s="104"/>
      <c r="M18" s="104"/>
      <c r="N18" s="104"/>
      <c r="O18" s="43">
        <v>22</v>
      </c>
      <c r="P18" s="7"/>
      <c r="Q18" s="465"/>
      <c r="R18" s="465"/>
      <c r="S18" s="465"/>
      <c r="T18" s="465"/>
      <c r="U18" s="465"/>
      <c r="V18" s="465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</sheetData>
  <mergeCells count="10">
    <mergeCell ref="A1:O1"/>
    <mergeCell ref="A11:E11"/>
    <mergeCell ref="A12:J12"/>
    <mergeCell ref="A18:G18"/>
    <mergeCell ref="A5:A6"/>
    <mergeCell ref="A7:A8"/>
    <mergeCell ref="A9:A10"/>
    <mergeCell ref="A3:A4"/>
    <mergeCell ref="B3:B4"/>
    <mergeCell ref="C3:O3"/>
  </mergeCells>
  <printOptions horizontalCentered="1"/>
  <pageMargins left="0.45" right="0.45" top="0.5" bottom="0.5" header="0.3" footer="0.3"/>
  <pageSetup paperSize="9" scale="9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5"/>
  <sheetViews>
    <sheetView rightToLeft="1" view="pageBreakPreview" zoomScale="90" zoomScaleSheetLayoutView="90" workbookViewId="0">
      <selection sqref="A1:J1"/>
    </sheetView>
  </sheetViews>
  <sheetFormatPr defaultColWidth="10.42578125" defaultRowHeight="15" x14ac:dyDescent="0.25"/>
  <cols>
    <col min="1" max="1" width="12.5703125" customWidth="1"/>
    <col min="2" max="2" width="13" customWidth="1"/>
    <col min="3" max="3" width="10.42578125" customWidth="1"/>
    <col min="4" max="4" width="15.7109375" customWidth="1"/>
    <col min="5" max="5" width="15.85546875" customWidth="1"/>
    <col min="6" max="9" width="15.7109375" customWidth="1"/>
    <col min="10" max="10" width="15.140625" customWidth="1"/>
  </cols>
  <sheetData>
    <row r="1" spans="1:19" ht="23.25" customHeight="1" x14ac:dyDescent="0.25">
      <c r="A1" s="825" t="s">
        <v>444</v>
      </c>
      <c r="B1" s="825"/>
      <c r="C1" s="825"/>
      <c r="D1" s="825"/>
      <c r="E1" s="825"/>
      <c r="F1" s="825"/>
      <c r="G1" s="825"/>
      <c r="H1" s="825"/>
      <c r="I1" s="825"/>
      <c r="J1" s="825"/>
    </row>
    <row r="2" spans="1:19" ht="23.25" customHeight="1" thickBot="1" x14ac:dyDescent="0.3">
      <c r="A2" s="826" t="s">
        <v>418</v>
      </c>
      <c r="B2" s="826"/>
      <c r="C2" s="826"/>
      <c r="D2" s="826"/>
      <c r="E2" s="826"/>
      <c r="F2" s="826"/>
      <c r="G2" s="826"/>
      <c r="H2" s="826"/>
      <c r="I2" s="826"/>
      <c r="J2" s="826"/>
    </row>
    <row r="3" spans="1:19" ht="26.25" customHeight="1" thickTop="1" x14ac:dyDescent="0.25">
      <c r="A3" s="792" t="s">
        <v>74</v>
      </c>
      <c r="B3" s="796" t="s">
        <v>249</v>
      </c>
      <c r="C3" s="796"/>
      <c r="D3" s="407" t="s">
        <v>279</v>
      </c>
      <c r="E3" s="407" t="s">
        <v>340</v>
      </c>
      <c r="F3" s="407" t="s">
        <v>341</v>
      </c>
      <c r="G3" s="761" t="s">
        <v>347</v>
      </c>
      <c r="H3" s="761"/>
      <c r="I3" s="761"/>
      <c r="J3" s="792" t="s">
        <v>250</v>
      </c>
    </row>
    <row r="4" spans="1:19" ht="26.25" customHeight="1" x14ac:dyDescent="0.25">
      <c r="A4" s="806"/>
      <c r="B4" s="169" t="s">
        <v>278</v>
      </c>
      <c r="C4" s="250" t="s">
        <v>252</v>
      </c>
      <c r="D4" s="300" t="s">
        <v>280</v>
      </c>
      <c r="E4" s="300" t="s">
        <v>280</v>
      </c>
      <c r="F4" s="300" t="s">
        <v>280</v>
      </c>
      <c r="G4" s="250" t="s">
        <v>281</v>
      </c>
      <c r="H4" s="250" t="s">
        <v>282</v>
      </c>
      <c r="I4" s="250" t="s">
        <v>25</v>
      </c>
      <c r="J4" s="806"/>
    </row>
    <row r="5" spans="1:19" s="19" customFormat="1" ht="23.25" customHeight="1" x14ac:dyDescent="0.25">
      <c r="A5" s="571" t="s">
        <v>75</v>
      </c>
      <c r="B5" s="240">
        <v>33</v>
      </c>
      <c r="C5" s="539">
        <f>B5/251*100</f>
        <v>13.147410358565736</v>
      </c>
      <c r="D5" s="328">
        <v>1985400</v>
      </c>
      <c r="E5" s="328">
        <v>1786860</v>
      </c>
      <c r="F5" s="328">
        <v>1819950</v>
      </c>
      <c r="G5" s="328">
        <v>1985400</v>
      </c>
      <c r="H5" s="328">
        <v>8975</v>
      </c>
      <c r="I5" s="328">
        <f t="shared" ref="I5:I20" si="0">SUM(G5:H5)</f>
        <v>1994375</v>
      </c>
      <c r="J5" s="502">
        <f t="shared" ref="J5:J15" si="1">F5/D5*100</f>
        <v>91.666666666666657</v>
      </c>
    </row>
    <row r="6" spans="1:19" s="285" customFormat="1" ht="23.25" customHeight="1" x14ac:dyDescent="0.25">
      <c r="A6" s="571" t="s">
        <v>76</v>
      </c>
      <c r="B6" s="240">
        <v>12</v>
      </c>
      <c r="C6" s="539">
        <f t="shared" ref="C6:C21" si="2">B6/251*100</f>
        <v>4.7808764940239046</v>
      </c>
      <c r="D6" s="328">
        <v>900000</v>
      </c>
      <c r="E6" s="328">
        <v>833400</v>
      </c>
      <c r="F6" s="328">
        <v>616425</v>
      </c>
      <c r="G6" s="328">
        <v>672937</v>
      </c>
      <c r="H6" s="328">
        <v>5130</v>
      </c>
      <c r="I6" s="328">
        <f t="shared" si="0"/>
        <v>678067</v>
      </c>
      <c r="J6" s="502">
        <f t="shared" si="1"/>
        <v>68.49166666666666</v>
      </c>
      <c r="K6" s="540"/>
      <c r="L6" s="572"/>
      <c r="M6" s="572"/>
      <c r="N6" s="572"/>
      <c r="O6" s="572"/>
      <c r="P6" s="573"/>
      <c r="Q6" s="564"/>
      <c r="R6" s="564"/>
      <c r="S6" s="564"/>
    </row>
    <row r="7" spans="1:19" s="285" customFormat="1" ht="23.25" customHeight="1" x14ac:dyDescent="0.2">
      <c r="A7" s="239" t="s">
        <v>77</v>
      </c>
      <c r="B7" s="240">
        <v>27</v>
      </c>
      <c r="C7" s="539">
        <f t="shared" si="2"/>
        <v>10.756972111553784</v>
      </c>
      <c r="D7" s="328">
        <v>486640</v>
      </c>
      <c r="E7" s="328">
        <v>445830</v>
      </c>
      <c r="F7" s="328">
        <v>445830</v>
      </c>
      <c r="G7" s="241">
        <v>446466</v>
      </c>
      <c r="H7" s="241">
        <v>255</v>
      </c>
      <c r="I7" s="241">
        <f t="shared" si="0"/>
        <v>446721</v>
      </c>
      <c r="J7" s="502">
        <f t="shared" si="1"/>
        <v>91.613924050632917</v>
      </c>
      <c r="K7" s="540"/>
      <c r="L7" s="437"/>
      <c r="M7" s="541"/>
      <c r="N7" s="438"/>
      <c r="O7" s="438"/>
      <c r="P7" s="543"/>
      <c r="Q7" s="543"/>
      <c r="R7" s="543"/>
    </row>
    <row r="8" spans="1:19" s="285" customFormat="1" ht="23.25" customHeight="1" x14ac:dyDescent="0.2">
      <c r="A8" s="239" t="s">
        <v>330</v>
      </c>
      <c r="B8" s="240">
        <v>26</v>
      </c>
      <c r="C8" s="539">
        <f t="shared" si="2"/>
        <v>10.358565737051793</v>
      </c>
      <c r="D8" s="328">
        <v>227500</v>
      </c>
      <c r="E8" s="328">
        <v>183400</v>
      </c>
      <c r="F8" s="328">
        <v>146720</v>
      </c>
      <c r="G8" s="241">
        <v>176064</v>
      </c>
      <c r="H8" s="241">
        <v>0</v>
      </c>
      <c r="I8" s="241">
        <f t="shared" si="0"/>
        <v>176064</v>
      </c>
      <c r="J8" s="502">
        <f t="shared" si="1"/>
        <v>64.492307692307691</v>
      </c>
      <c r="K8" s="540"/>
      <c r="L8" s="437"/>
      <c r="M8" s="541"/>
      <c r="N8" s="438"/>
      <c r="O8" s="438"/>
      <c r="P8" s="543"/>
      <c r="Q8" s="543"/>
      <c r="R8" s="543"/>
    </row>
    <row r="9" spans="1:19" s="285" customFormat="1" ht="23.25" customHeight="1" x14ac:dyDescent="0.2">
      <c r="A9" s="239" t="s">
        <v>88</v>
      </c>
      <c r="B9" s="240">
        <v>13</v>
      </c>
      <c r="C9" s="539">
        <f t="shared" si="2"/>
        <v>5.1792828685258963</v>
      </c>
      <c r="D9" s="328">
        <v>4430500</v>
      </c>
      <c r="E9" s="328">
        <v>3900000</v>
      </c>
      <c r="F9" s="328">
        <v>3888000</v>
      </c>
      <c r="G9" s="241">
        <v>4000000</v>
      </c>
      <c r="H9" s="241">
        <v>0</v>
      </c>
      <c r="I9" s="241">
        <f t="shared" si="0"/>
        <v>4000000</v>
      </c>
      <c r="J9" s="502">
        <f t="shared" si="1"/>
        <v>87.755332355264642</v>
      </c>
      <c r="K9" s="540"/>
      <c r="L9" s="437"/>
      <c r="M9" s="541"/>
      <c r="N9" s="437"/>
      <c r="O9" s="437"/>
    </row>
    <row r="10" spans="1:19" s="285" customFormat="1" ht="23.25" customHeight="1" x14ac:dyDescent="0.2">
      <c r="A10" s="239" t="s">
        <v>79</v>
      </c>
      <c r="B10" s="240">
        <v>12</v>
      </c>
      <c r="C10" s="539">
        <f t="shared" si="2"/>
        <v>4.7808764940239046</v>
      </c>
      <c r="D10" s="328">
        <v>612000</v>
      </c>
      <c r="E10" s="328">
        <v>430600</v>
      </c>
      <c r="F10" s="328">
        <v>430600</v>
      </c>
      <c r="G10" s="241">
        <v>484425</v>
      </c>
      <c r="H10" s="241">
        <v>0</v>
      </c>
      <c r="I10" s="241">
        <f t="shared" si="0"/>
        <v>484425</v>
      </c>
      <c r="J10" s="502">
        <f t="shared" si="1"/>
        <v>70.359477124183016</v>
      </c>
      <c r="K10" s="540"/>
      <c r="L10" s="437"/>
      <c r="M10" s="541"/>
      <c r="N10" s="437"/>
      <c r="O10" s="437"/>
    </row>
    <row r="11" spans="1:19" s="285" customFormat="1" ht="23.25" customHeight="1" x14ac:dyDescent="0.2">
      <c r="A11" s="239" t="s">
        <v>81</v>
      </c>
      <c r="B11" s="240">
        <v>20</v>
      </c>
      <c r="C11" s="539">
        <f t="shared" si="2"/>
        <v>7.9681274900398407</v>
      </c>
      <c r="D11" s="328">
        <v>458600</v>
      </c>
      <c r="E11" s="328">
        <v>435670</v>
      </c>
      <c r="F11" s="328">
        <v>380290</v>
      </c>
      <c r="G11" s="328">
        <v>492140</v>
      </c>
      <c r="H11" s="328">
        <v>0</v>
      </c>
      <c r="I11" s="241">
        <f t="shared" si="0"/>
        <v>492140</v>
      </c>
      <c r="J11" s="502">
        <f t="shared" si="1"/>
        <v>82.924116877453116</v>
      </c>
      <c r="K11" s="540"/>
      <c r="L11" s="437"/>
      <c r="M11" s="541"/>
      <c r="N11" s="437"/>
      <c r="O11" s="437"/>
    </row>
    <row r="12" spans="1:19" s="285" customFormat="1" ht="23.25" customHeight="1" x14ac:dyDescent="0.2">
      <c r="A12" s="239" t="s">
        <v>73</v>
      </c>
      <c r="B12" s="585">
        <v>7</v>
      </c>
      <c r="C12" s="539">
        <f t="shared" si="2"/>
        <v>2.788844621513944</v>
      </c>
      <c r="D12" s="328">
        <v>563200</v>
      </c>
      <c r="E12" s="328">
        <v>506880</v>
      </c>
      <c r="F12" s="328">
        <v>478720</v>
      </c>
      <c r="G12" s="237">
        <v>619520</v>
      </c>
      <c r="H12" s="237">
        <v>0</v>
      </c>
      <c r="I12" s="237">
        <f t="shared" si="0"/>
        <v>619520</v>
      </c>
      <c r="J12" s="502">
        <f t="shared" si="1"/>
        <v>85</v>
      </c>
      <c r="K12" s="540"/>
      <c r="L12" s="437"/>
      <c r="M12" s="541"/>
      <c r="N12" s="437"/>
      <c r="O12" s="437"/>
    </row>
    <row r="13" spans="1:19" s="284" customFormat="1" ht="23.25" customHeight="1" x14ac:dyDescent="0.2">
      <c r="A13" s="239" t="s">
        <v>80</v>
      </c>
      <c r="B13" s="240">
        <v>20</v>
      </c>
      <c r="C13" s="539">
        <f t="shared" si="2"/>
        <v>7.9681274900398407</v>
      </c>
      <c r="D13" s="328">
        <v>494600</v>
      </c>
      <c r="E13" s="328">
        <v>453383</v>
      </c>
      <c r="F13" s="328">
        <v>412166</v>
      </c>
      <c r="G13" s="241">
        <v>432774</v>
      </c>
      <c r="H13" s="241">
        <v>0</v>
      </c>
      <c r="I13" s="241">
        <f t="shared" si="0"/>
        <v>432774</v>
      </c>
      <c r="J13" s="502">
        <f t="shared" si="1"/>
        <v>83.333198544278204</v>
      </c>
      <c r="K13" s="824"/>
      <c r="L13" s="824"/>
      <c r="M13" s="824"/>
      <c r="N13" s="824"/>
      <c r="O13" s="824"/>
      <c r="P13" s="824"/>
      <c r="Q13" s="824"/>
      <c r="R13" s="824"/>
    </row>
    <row r="14" spans="1:19" s="284" customFormat="1" ht="23.25" customHeight="1" x14ac:dyDescent="0.2">
      <c r="A14" s="239" t="s">
        <v>78</v>
      </c>
      <c r="B14" s="240">
        <v>22</v>
      </c>
      <c r="C14" s="539">
        <f t="shared" si="2"/>
        <v>8.7649402390438258</v>
      </c>
      <c r="D14" s="328">
        <v>550608</v>
      </c>
      <c r="E14" s="328">
        <v>498564</v>
      </c>
      <c r="F14" s="328">
        <v>265225</v>
      </c>
      <c r="G14" s="241">
        <v>477405</v>
      </c>
      <c r="H14" s="241">
        <v>0</v>
      </c>
      <c r="I14" s="241">
        <f t="shared" si="0"/>
        <v>477405</v>
      </c>
      <c r="J14" s="502">
        <f t="shared" si="1"/>
        <v>48.169478104204806</v>
      </c>
      <c r="K14" s="540"/>
      <c r="L14" s="437"/>
      <c r="M14" s="541"/>
      <c r="N14" s="437"/>
      <c r="O14" s="437"/>
    </row>
    <row r="15" spans="1:19" s="284" customFormat="1" ht="23.25" customHeight="1" x14ac:dyDescent="0.2">
      <c r="A15" s="239" t="s">
        <v>82</v>
      </c>
      <c r="B15" s="240">
        <v>6</v>
      </c>
      <c r="C15" s="539">
        <f t="shared" si="2"/>
        <v>2.3904382470119523</v>
      </c>
      <c r="D15" s="328">
        <v>380000</v>
      </c>
      <c r="E15" s="328">
        <v>380000</v>
      </c>
      <c r="F15" s="328">
        <v>380000</v>
      </c>
      <c r="G15" s="241">
        <v>418000</v>
      </c>
      <c r="H15" s="241">
        <v>0</v>
      </c>
      <c r="I15" s="241">
        <f t="shared" si="0"/>
        <v>418000</v>
      </c>
      <c r="J15" s="502">
        <f t="shared" si="1"/>
        <v>100</v>
      </c>
      <c r="K15" s="540"/>
      <c r="L15" s="437"/>
      <c r="M15" s="541"/>
      <c r="N15" s="437"/>
      <c r="O15" s="437"/>
    </row>
    <row r="16" spans="1:19" s="284" customFormat="1" ht="23.25" customHeight="1" x14ac:dyDescent="0.2">
      <c r="A16" s="239" t="s">
        <v>83</v>
      </c>
      <c r="B16" s="240">
        <v>17</v>
      </c>
      <c r="C16" s="539">
        <f t="shared" si="2"/>
        <v>6.7729083665338639</v>
      </c>
      <c r="D16" s="328">
        <v>362000</v>
      </c>
      <c r="E16" s="328">
        <v>280000</v>
      </c>
      <c r="F16" s="328">
        <v>265800</v>
      </c>
      <c r="G16" s="241">
        <v>412500</v>
      </c>
      <c r="H16" s="241">
        <v>0</v>
      </c>
      <c r="I16" s="241">
        <f t="shared" si="0"/>
        <v>412500</v>
      </c>
      <c r="J16" s="502">
        <f t="shared" ref="J16:J21" si="3">F16/D16*100</f>
        <v>73.425414364640886</v>
      </c>
      <c r="K16" s="540"/>
      <c r="L16" s="437"/>
      <c r="M16" s="541"/>
      <c r="N16" s="437"/>
      <c r="O16" s="437"/>
    </row>
    <row r="17" spans="1:15" s="284" customFormat="1" ht="23.25" customHeight="1" x14ac:dyDescent="0.2">
      <c r="A17" s="239" t="s">
        <v>84</v>
      </c>
      <c r="B17" s="240">
        <v>5</v>
      </c>
      <c r="C17" s="539">
        <f t="shared" si="2"/>
        <v>1.9920318725099602</v>
      </c>
      <c r="D17" s="328">
        <v>181600</v>
      </c>
      <c r="E17" s="328">
        <v>154376</v>
      </c>
      <c r="F17" s="328">
        <v>145500</v>
      </c>
      <c r="G17" s="241">
        <v>170112</v>
      </c>
      <c r="H17" s="241">
        <v>4488</v>
      </c>
      <c r="I17" s="241">
        <f t="shared" si="0"/>
        <v>174600</v>
      </c>
      <c r="J17" s="502">
        <f t="shared" si="3"/>
        <v>80.121145374449341</v>
      </c>
      <c r="K17" s="540"/>
      <c r="L17" s="437"/>
      <c r="M17" s="541"/>
      <c r="N17" s="437"/>
      <c r="O17" s="437"/>
    </row>
    <row r="18" spans="1:15" s="284" customFormat="1" ht="23.25" customHeight="1" x14ac:dyDescent="0.2">
      <c r="A18" s="239" t="s">
        <v>85</v>
      </c>
      <c r="B18" s="240">
        <v>6</v>
      </c>
      <c r="C18" s="539">
        <f t="shared" si="2"/>
        <v>2.3904382470119523</v>
      </c>
      <c r="D18" s="328">
        <v>451200</v>
      </c>
      <c r="E18" s="328">
        <v>374160</v>
      </c>
      <c r="F18" s="328">
        <v>327640</v>
      </c>
      <c r="G18" s="241">
        <v>425932</v>
      </c>
      <c r="H18" s="241">
        <v>0</v>
      </c>
      <c r="I18" s="241">
        <f t="shared" si="0"/>
        <v>425932</v>
      </c>
      <c r="J18" s="502">
        <f t="shared" si="3"/>
        <v>72.615248226950357</v>
      </c>
      <c r="K18" s="540"/>
      <c r="L18" s="437"/>
      <c r="M18" s="541"/>
      <c r="N18" s="437"/>
      <c r="O18" s="437"/>
    </row>
    <row r="19" spans="1:15" s="284" customFormat="1" ht="23.25" customHeight="1" x14ac:dyDescent="0.2">
      <c r="A19" s="239" t="s">
        <v>86</v>
      </c>
      <c r="B19" s="240">
        <v>15</v>
      </c>
      <c r="C19" s="539">
        <f t="shared" si="2"/>
        <v>5.9760956175298805</v>
      </c>
      <c r="D19" s="328">
        <v>120000</v>
      </c>
      <c r="E19" s="328">
        <v>96000</v>
      </c>
      <c r="F19" s="328">
        <v>84000</v>
      </c>
      <c r="G19" s="241">
        <v>135000</v>
      </c>
      <c r="H19" s="241">
        <v>0</v>
      </c>
      <c r="I19" s="241">
        <f t="shared" si="0"/>
        <v>135000</v>
      </c>
      <c r="J19" s="502">
        <f t="shared" si="3"/>
        <v>70</v>
      </c>
      <c r="K19" s="540"/>
      <c r="L19" s="437"/>
      <c r="M19" s="541"/>
      <c r="N19" s="437"/>
      <c r="O19" s="437"/>
    </row>
    <row r="20" spans="1:15" s="284" customFormat="1" ht="23.25" customHeight="1" thickBot="1" x14ac:dyDescent="0.25">
      <c r="A20" s="242" t="s">
        <v>87</v>
      </c>
      <c r="B20" s="585">
        <v>10</v>
      </c>
      <c r="C20" s="539">
        <f t="shared" si="2"/>
        <v>3.9840637450199203</v>
      </c>
      <c r="D20" s="526">
        <v>403200</v>
      </c>
      <c r="E20" s="526">
        <v>369613</v>
      </c>
      <c r="F20" s="526">
        <v>308378</v>
      </c>
      <c r="G20" s="237">
        <v>400891</v>
      </c>
      <c r="H20" s="237">
        <v>0</v>
      </c>
      <c r="I20" s="237">
        <f t="shared" si="0"/>
        <v>400891</v>
      </c>
      <c r="J20" s="502">
        <f t="shared" si="3"/>
        <v>76.482638888888886</v>
      </c>
      <c r="K20" s="540"/>
      <c r="L20" s="248"/>
      <c r="M20" s="541"/>
      <c r="N20" s="437"/>
      <c r="O20" s="437"/>
    </row>
    <row r="21" spans="1:15" s="232" customFormat="1" ht="23.25" customHeight="1" thickTop="1" thickBot="1" x14ac:dyDescent="0.25">
      <c r="A21" s="251" t="s">
        <v>309</v>
      </c>
      <c r="B21" s="252">
        <f>SUM(B5:B20)</f>
        <v>251</v>
      </c>
      <c r="C21" s="363">
        <f t="shared" si="2"/>
        <v>100</v>
      </c>
      <c r="D21" s="253">
        <f t="shared" ref="D21:I21" si="4">SUM(D5:D20)</f>
        <v>12607048</v>
      </c>
      <c r="E21" s="253">
        <f t="shared" si="4"/>
        <v>11128736</v>
      </c>
      <c r="F21" s="253">
        <f t="shared" si="4"/>
        <v>10395244</v>
      </c>
      <c r="G21" s="253">
        <f t="shared" si="4"/>
        <v>11749566</v>
      </c>
      <c r="H21" s="253">
        <f t="shared" si="4"/>
        <v>18848</v>
      </c>
      <c r="I21" s="253">
        <f t="shared" si="4"/>
        <v>11768414</v>
      </c>
      <c r="J21" s="363">
        <f t="shared" si="3"/>
        <v>82.455813605215113</v>
      </c>
      <c r="K21" s="244"/>
      <c r="L21" s="243"/>
      <c r="M21" s="235"/>
      <c r="N21" s="234"/>
      <c r="O21" s="234"/>
    </row>
    <row r="22" spans="1:15" s="232" customFormat="1" ht="18.75" customHeight="1" thickTop="1" x14ac:dyDescent="0.2">
      <c r="A22" s="829" t="s">
        <v>322</v>
      </c>
      <c r="B22" s="829"/>
      <c r="C22" s="829"/>
      <c r="D22" s="829"/>
      <c r="E22" s="829"/>
      <c r="F22" s="829"/>
      <c r="G22" s="829"/>
      <c r="H22" s="364"/>
      <c r="I22" s="364"/>
      <c r="J22" s="395"/>
      <c r="K22" s="244"/>
      <c r="L22" s="243"/>
      <c r="M22" s="235"/>
      <c r="N22" s="234"/>
      <c r="O22" s="234"/>
    </row>
    <row r="23" spans="1:15" s="232" customFormat="1" ht="18.75" customHeight="1" x14ac:dyDescent="0.2">
      <c r="A23" s="827" t="s">
        <v>323</v>
      </c>
      <c r="B23" s="827"/>
      <c r="C23" s="827"/>
      <c r="D23" s="827"/>
      <c r="E23" s="827"/>
      <c r="F23" s="827"/>
      <c r="G23" s="827"/>
      <c r="H23" s="246"/>
      <c r="I23" s="246"/>
      <c r="J23" s="248"/>
      <c r="K23" s="243"/>
      <c r="L23" s="243"/>
      <c r="M23" s="235"/>
      <c r="N23" s="234"/>
      <c r="O23" s="234"/>
    </row>
    <row r="24" spans="1:15" s="232" customFormat="1" ht="15" customHeight="1" thickBot="1" x14ac:dyDescent="0.25">
      <c r="A24" s="828"/>
      <c r="B24" s="828"/>
      <c r="C24" s="828"/>
      <c r="D24" s="828"/>
      <c r="E24" s="828"/>
      <c r="F24" s="828"/>
      <c r="G24" s="828"/>
      <c r="H24" s="246"/>
      <c r="I24" s="246"/>
      <c r="J24" s="248"/>
      <c r="K24" s="243"/>
      <c r="L24" s="243"/>
      <c r="M24" s="235"/>
      <c r="N24" s="234"/>
      <c r="O24" s="234"/>
    </row>
    <row r="25" spans="1:15" ht="18.75" customHeight="1" x14ac:dyDescent="0.25">
      <c r="A25" s="823" t="s">
        <v>253</v>
      </c>
      <c r="B25" s="823"/>
      <c r="C25" s="823"/>
      <c r="D25" s="823"/>
      <c r="E25" s="249"/>
      <c r="F25" s="249"/>
      <c r="G25" s="249"/>
      <c r="H25" s="249"/>
      <c r="I25" s="249"/>
      <c r="J25" s="306">
        <v>23</v>
      </c>
      <c r="K25" s="14"/>
      <c r="L25" s="14"/>
      <c r="M25" s="14"/>
      <c r="N25" s="14"/>
      <c r="O25" s="14"/>
    </row>
  </sheetData>
  <mergeCells count="11">
    <mergeCell ref="G3:I3"/>
    <mergeCell ref="A25:D25"/>
    <mergeCell ref="K13:R13"/>
    <mergeCell ref="A1:J1"/>
    <mergeCell ref="A2:J2"/>
    <mergeCell ref="A3:A4"/>
    <mergeCell ref="B3:C3"/>
    <mergeCell ref="J3:J4"/>
    <mergeCell ref="A23:G23"/>
    <mergeCell ref="A24:G24"/>
    <mergeCell ref="A22:G22"/>
  </mergeCells>
  <printOptions horizontalCentered="1"/>
  <pageMargins left="0.31496062992125984" right="0.31496062992125984" top="0.51181102362204722" bottom="0.5118110236220472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31</vt:i4>
      </vt:variant>
      <vt:variant>
        <vt:lpstr>نطاقات تمت تسميتها</vt:lpstr>
      </vt:variant>
      <vt:variant>
        <vt:i4>29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ورقة1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'28'!Print_Area</vt:lpstr>
      <vt:lpstr>'29'!Print_Area</vt:lpstr>
      <vt:lpstr>'3'!Print_Area</vt:lpstr>
      <vt:lpstr>'30'!Print_Area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it</cp:lastModifiedBy>
  <cp:lastPrinted>2021-08-30T09:52:04Z</cp:lastPrinted>
  <dcterms:created xsi:type="dcterms:W3CDTF">2013-05-13T09:11:50Z</dcterms:created>
  <dcterms:modified xsi:type="dcterms:W3CDTF">2021-08-30T09:52:48Z</dcterms:modified>
</cp:coreProperties>
</file>